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16" yWindow="65344" windowWidth="14268" windowHeight="9288" tabRatio="875" activeTab="2"/>
  </bookViews>
  <sheets>
    <sheet name="Структура" sheetId="1" r:id="rId1"/>
    <sheet name="Баланс энергии2014г." sheetId="2" r:id="rId2"/>
    <sheet name="Баланс мощности2014г" sheetId="3" r:id="rId3"/>
    <sheet name="TEHSHEET" sheetId="4" state="hidden" r:id="rId4"/>
  </sheets>
  <externalReferences>
    <externalReference r:id="rId7"/>
    <externalReference r:id="rId8"/>
  </externalReferences>
  <definedNames>
    <definedName name="P1_SCOPE_PROT1" hidden="1">'Баланс энергии2014г.'!#REF!,'Баланс энергии2014г.'!#REF!,'Баланс энергии2014г.'!#REF!,'Баланс энергии2014г.'!$J$11,'Баланс энергии2014г.'!$L$11:$L$12</definedName>
    <definedName name="P1_SCOPE_PROT13" hidden="1">#REF!,#REF!,#REF!,#REF!,#REF!,#REF!,#REF!,#REF!</definedName>
    <definedName name="P1_SCOPE_PROT14" hidden="1">#REF!,#REF!,#REF!,#REF!,#REF!,#REF!,#REF!,#REF!</definedName>
    <definedName name="P1_SCOPE_PROT16" hidden="1">#REF!,#REF!,#REF!,#REF!,#REF!,#REF!</definedName>
    <definedName name="P1_SCOPE_PROT2" hidden="1">'Баланс мощности2014г'!#REF!,'Баланс мощности2014г'!#REF!,'Баланс мощности2014г'!#REF!,'Баланс мощности2014г'!#REF!,'Баланс мощности2014г'!$E$11</definedName>
    <definedName name="P1_SCOPE_PROT22" hidden="1">#REF!,#REF!,#REF!,#REF!,#REF!,#REF!,#REF!</definedName>
    <definedName name="P1_SCOPE_PROT27" hidden="1">#REF!,#REF!,#REF!,#REF!,#REF!,#REF!</definedName>
    <definedName name="P1_SCOPE_PROT34" hidden="1">#REF!,#REF!,#REF!,#REF!,#REF!,#REF!</definedName>
    <definedName name="P1_SCOPE_PROT5" hidden="1">#REF!,#REF!,#REF!</definedName>
    <definedName name="P1_SCOPE_PROT8" hidden="1">#REF!,#REF!,#REF!,#REF!</definedName>
    <definedName name="P2_SCOPE_PROT1" hidden="1">'Баланс энергии2014г.'!$O$11,'Баланс энергии2014г.'!$Q$11:$Q$12,'Баланс энергии2014г.'!$Y$11,'Баланс энергии2014г.'!$AA$11:$AA$12,'Баланс энергии2014г.'!$X$14:$AA$17</definedName>
    <definedName name="P2_SCOPE_PROT13" hidden="1">#REF!,#REF!,#REF!,#REF!,#REF!,#REF!,#REF!,#REF!</definedName>
    <definedName name="P2_SCOPE_PROT14" hidden="1">#REF!,#REF!,#REF!,#REF!,#REF!,#REF!,#REF!,#REF!</definedName>
    <definedName name="P2_SCOPE_PROT2" hidden="1">'Баланс мощности2014г'!$G$11:$G$12,'Баланс мощности2014г'!$D$14:$G$17,'Баланс мощности2014г'!$D$20:$G$20,'Баланс мощности2014г'!$D$22:$G$24,'Баланс мощности2014г'!$J$11</definedName>
    <definedName name="P2_SCOPE_PROT22" hidden="1">#REF!,#REF!,#REF!,#REF!,#REF!,#REF!</definedName>
    <definedName name="P2_SCOPE_PROT27" hidden="1">#REF!,#REF!,#REF!,#REF!,#REF!,#REF!</definedName>
    <definedName name="P2_SCOPE_PROT5" hidden="1">#REF!,#REF!,#REF!</definedName>
    <definedName name="P2_SCOPE_PROT8" hidden="1">#REF!,#REF!,#REF!,#REF!</definedName>
    <definedName name="P3_SCOPE_PROT1" hidden="1">'Баланс энергии2014г.'!$X$19:$AA$20,'Баланс энергии2014г.'!$X$22:$AA$24,'Баланс энергии2014г.'!$N$22:$Q$24,'Баланс энергии2014г.'!$N$19:$Q$20,'Баланс энергии2014г.'!$N$14:$Q$17</definedName>
    <definedName name="P3_SCOPE_PROT14" hidden="1">#REF!,#REF!,#REF!,#REF!,#REF!,#REF!,#REF!,#REF!,#REF!</definedName>
    <definedName name="P3_SCOPE_PROT2" hidden="1">'Баланс мощности2014г'!$L$11:$L$12,'Баланс мощности2014г'!$I$14:$L$17,'Баланс мощности2014г'!$I$20:$L$20,'Баланс мощности2014г'!$I$22:$L$24,'Баланс мощности2014г'!$O$11</definedName>
    <definedName name="P3_SCOPE_PROT8" hidden="1">#REF!,#REF!,#REF!,#REF!,#REF!</definedName>
    <definedName name="P4_SCOPE_PROT1" hidden="1">'Баланс энергии2014г.'!$I$14:$L$17,'Баланс энергии2014г.'!$I$19:$L$20,'Баланс энергии2014г.'!$I$22:$L$24,'Баланс энергии2014г.'!#REF!,'Баланс энергии2014г.'!#REF!</definedName>
    <definedName name="P4_SCOPE_PROT14" hidden="1">#REF!,#REF!,#REF!,#REF!,#REF!,#REF!,#REF!,#REF!,#REF!</definedName>
    <definedName name="P4_SCOPE_PROT2" hidden="1">'Баланс мощности2014г'!$Q$11:$Q$12,'Баланс мощности2014г'!$N$14:$Q$17,'Баланс мощности2014г'!$N$20:$Q$20,'Баланс мощности2014г'!$N$22:$Q$24,'Баланс мощности2014г'!$T$11</definedName>
    <definedName name="P4_SCOPE_PROT8" hidden="1">#REF!,#REF!,#REF!,#REF!,#REF!</definedName>
    <definedName name="P5_SCOPE_PROT1" hidden="1">'Баланс энергии2014г.'!#REF!,'Баланс энергии2014г.'!#REF!,'Баланс энергии2014г.'!#REF!,'Баланс энергии2014г.'!#REF!,'Баланс энергии2014г.'!#REF!</definedName>
    <definedName name="P5_SCOPE_PROT2" hidden="1">'Баланс мощности2014г'!$V$11:$V$12,'Баланс мощности2014г'!$S$14:$V$17,'Баланс мощности2014г'!$S$20:$V$20,'Баланс мощности2014г'!$S$22:$V$24,'Баланс мощности2014г'!#REF!</definedName>
    <definedName name="P5_SCOPE_PROT8" hidden="1">#REF!,#REF!,#REF!,#REF!,#REF!</definedName>
    <definedName name="P6_SCOPE_PROT1" hidden="1">'Баланс энергии2014г.'!#REF!,'Баланс энергии2014г.'!#REF!,'Баланс энергии2014г.'!$A$39:$B$41,'Баланс энергии2014г.'!#REF!,P1_SCOPE_PROT1,P2_SCOPE_PROT1</definedName>
    <definedName name="P6_SCOPE_PROT8" hidden="1">#REF!,#REF!,#REF!,#REF!</definedName>
    <definedName name="SCOPE_DIP1_1">'Баланс энергии2014г.'!#REF!</definedName>
    <definedName name="SCOPE_DIP1_2">'Баланс энергии2014г.'!#REF!</definedName>
    <definedName name="SCOPE_MNTH">'TEHSHEET'!$E$7:$E$18</definedName>
    <definedName name="SCOPE_PROT1">P3_SCOPE_PROT1,P4_SCOPE_PROT1,P5_SCOPE_PROT1,P6_SCOPE_PROT1</definedName>
    <definedName name="SCOPE_PROT10">#REF!,#REF!,#REF!,#REF!,#REF!,#REF!</definedName>
    <definedName name="SCOPE_PROT11">#REF!,#REF!,#REF!,#REF!</definedName>
    <definedName name="SCOPE_PROT12">#REF!,#REF!,#REF!</definedName>
    <definedName name="SCOPE_PROT13">#REF!,#REF!,P1_SCOPE_PROT13,P2_SCOPE_PROT13</definedName>
    <definedName name="SCOPE_PROT14">#REF!,#REF!,#REF!,P1_SCOPE_PROT14,P2_SCOPE_PROT14,P3_SCOPE_PROT14,P4_SCOPE_PROT14</definedName>
    <definedName name="SCOPE_PROT15">#REF!,#REF!</definedName>
    <definedName name="SCOPE_PROT16">#REF!,#REF!,#REF!,P1_SCOPE_PROT16</definedName>
    <definedName name="SCOPE_PROT17">#REF!</definedName>
    <definedName name="SCOPE_PROT18">#REF!,#REF!,#REF!</definedName>
    <definedName name="SCOPE_PROT19">#REF!,#REF!,#REF!</definedName>
    <definedName name="SCOPE_PROT2">P1_SCOPE_PROT2,P2_SCOPE_PROT2,P3_SCOPE_PROT2,P4_SCOPE_PROT2,P5_SCOPE_PROT2</definedName>
    <definedName name="SCOPE_PROT20">#REF!,#REF!,#REF!,#REF!</definedName>
    <definedName name="SCOPE_PROT21">#REF!,#REF!,#REF!,#REF!,#REF!,#REF!,#REF!,#REF!</definedName>
    <definedName name="SCOPE_PROT22">#REF!,#REF!,#REF!,#REF!,P1_SCOPE_PROT22,P2_SCOPE_PROT22</definedName>
    <definedName name="SCOPE_PROT23">#REF!,#REF!,#REF!,#REF!,#REF!</definedName>
    <definedName name="SCOPE_PROT24">#REF!,#REF!,#REF!,#REF!,#REF!</definedName>
    <definedName name="SCOPE_PROT25">#REF!,#REF!,#REF!,#REF!,#REF!</definedName>
    <definedName name="SCOPE_PROT26">#REF!,#REF!,#REF!,#REF!,#REF!</definedName>
    <definedName name="SCOPE_PROT27">#REF!,#REF!,#REF!,#REF!,#REF!,P1_SCOPE_PROT27,P2_SCOPE_PROT27</definedName>
    <definedName name="SCOPE_PROT28">#REF!</definedName>
    <definedName name="SCOPE_PROT29">#REF!,#REF!,#REF!,#REF!</definedName>
    <definedName name="SCOPE_PROT3">#REF!,#REF!,#REF!</definedName>
    <definedName name="SCOPE_PROT30">#REF!</definedName>
    <definedName name="SCOPE_PROT31">#REF!</definedName>
    <definedName name="SCOPE_PROT32">#REF!,#REF!,#REF!</definedName>
    <definedName name="SCOPE_PROT33">#REF!,#REF!,#REF!,#REF!</definedName>
    <definedName name="SCOPE_PROT34">#REF!,P1_SCOPE_PROT34</definedName>
    <definedName name="SCOPE_PROT35">#REF!,#REF!,#REF!</definedName>
    <definedName name="SCOPE_PROT36">#REF!,#REF!</definedName>
    <definedName name="SCOPE_PROT37">#REF!,#REF!,#REF!</definedName>
    <definedName name="SCOPE_PROT38">#REF!,#REF!,#REF!</definedName>
    <definedName name="SCOPE_PROT4">#REF!</definedName>
    <definedName name="SCOPE_PROT5">P1_SCOPE_PROT5,P2_SCOPE_PROT5</definedName>
    <definedName name="SCOPE_PROT6">#REF!,#REF!,#REF!</definedName>
    <definedName name="SCOPE_PROT7">#REF!,#REF!,#REF!,#REF!,#REF!</definedName>
    <definedName name="SCOPE_PROT8">#REF!,P1_SCOPE_PROT8,P2_SCOPE_PROT8,P3_SCOPE_PROT8,P4_SCOPE_PROT8,P5_SCOPE_PROT8,P6_SCOPE_PROT8</definedName>
    <definedName name="SCOPE_PROT9">#REF!</definedName>
    <definedName name="T3?L1.4.1">#REF!</definedName>
    <definedName name="T3?L1.5.1">#REF!</definedName>
    <definedName name="БазовыйПериод">'[1]Заголовок'!$B$15</definedName>
    <definedName name="ЗП1">'[2]Лист13'!$A$2</definedName>
    <definedName name="ЗП2">'[2]Лист13'!$B$2</definedName>
    <definedName name="ЗП3">'[2]Лист13'!$C$2</definedName>
    <definedName name="ЗП4">'[2]Лист13'!$D$2</definedName>
    <definedName name="название">#REF!</definedName>
    <definedName name="_xlnm.Print_Area" localSheetId="2">'Баланс мощности2014г'!$A$1:$AP$61</definedName>
    <definedName name="_xlnm.Print_Area" localSheetId="1">'Баланс энергии2014г.'!$A$1:$AP$58</definedName>
    <definedName name="_xlnm.Print_Area" localSheetId="0">'Структура'!$AA$2:$AV$48</definedName>
    <definedName name="ОтпускЭлектроэнергииИтогоБаз">'[1]6'!$C$15</definedName>
    <definedName name="ОтпускЭлектроэнергииИтогоРег">'[1]6'!$C$24</definedName>
    <definedName name="ПериодРегулирования">'[1]Заголовок'!$B$14</definedName>
  </definedNames>
  <calcPr fullCalcOnLoad="1"/>
</workbook>
</file>

<file path=xl/sharedStrings.xml><?xml version="1.0" encoding="utf-8"?>
<sst xmlns="http://schemas.openxmlformats.org/spreadsheetml/2006/main" count="919" uniqueCount="131">
  <si>
    <t>млн. кВт.ч.</t>
  </si>
  <si>
    <t>1.1.1.</t>
  </si>
  <si>
    <t>1.1.2.</t>
  </si>
  <si>
    <t>1.1.3.</t>
  </si>
  <si>
    <t>4.1.</t>
  </si>
  <si>
    <t>4.2.</t>
  </si>
  <si>
    <t>от электростанций</t>
  </si>
  <si>
    <t>Расход электроэнергии на производственные и хознужды</t>
  </si>
  <si>
    <t>потребителям, присоединенным к сети</t>
  </si>
  <si>
    <t>4.3.</t>
  </si>
  <si>
    <t>Расход мощности на производственные и хознужды</t>
  </si>
  <si>
    <t>Проверка</t>
  </si>
  <si>
    <t>Добавить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</si>
  <si>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</si>
  <si>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</si>
  <si>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</si>
  <si>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</si>
  <si>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</si>
  <si>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</si>
  <si>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</si>
  <si>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</si>
  <si>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</si>
  <si>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</si>
  <si>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</si>
  <si>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</si>
  <si>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то же в % (п.2./п.1.)</t>
  </si>
  <si>
    <t>от ОАО "ФСК ЕЭС"</t>
  </si>
  <si>
    <t>от ОАО "МОЭсК"</t>
  </si>
  <si>
    <t>от других сетевых организаций</t>
  </si>
  <si>
    <t>переток в ОАО "МОЭсК"</t>
  </si>
  <si>
    <t>переток в другие сетевые организации</t>
  </si>
  <si>
    <t>Наименование других сетевых организаций</t>
  </si>
  <si>
    <t>Наименование сбытовых организаций</t>
  </si>
  <si>
    <t xml:space="preserve">Расшифровка п. 1.5. (Поступление от других сетевых организаций) </t>
  </si>
  <si>
    <t xml:space="preserve">Расшифровка п. 4.3. (Полезный отпуск - переток в другие сетевые организации) </t>
  </si>
  <si>
    <t xml:space="preserve">Расшифровка п. 4.1. (Полезный отпуск потребителям,  присоединенным к сети) </t>
  </si>
  <si>
    <t>Форма 2</t>
  </si>
  <si>
    <t xml:space="preserve">Форма 3 </t>
  </si>
  <si>
    <t>2.1.</t>
  </si>
  <si>
    <t>Показатели</t>
  </si>
  <si>
    <t>Всего</t>
  </si>
  <si>
    <t>1.</t>
  </si>
  <si>
    <t>2.</t>
  </si>
  <si>
    <t>3.</t>
  </si>
  <si>
    <t>4.</t>
  </si>
  <si>
    <t>№</t>
  </si>
  <si>
    <t>Итого</t>
  </si>
  <si>
    <t>ВН</t>
  </si>
  <si>
    <t>СН1</t>
  </si>
  <si>
    <t>СН2</t>
  </si>
  <si>
    <t>НН</t>
  </si>
  <si>
    <t>1.1.</t>
  </si>
  <si>
    <t>1.2.</t>
  </si>
  <si>
    <t>1.3.</t>
  </si>
  <si>
    <t>1.4.</t>
  </si>
  <si>
    <t>1.5.</t>
  </si>
  <si>
    <t>№ п.п.</t>
  </si>
  <si>
    <t xml:space="preserve">Поступление эл.энергии в сеть , ВСЕГО </t>
  </si>
  <si>
    <t>из смежной сети, всего</t>
  </si>
  <si>
    <t xml:space="preserve">    в том числе из сети</t>
  </si>
  <si>
    <t xml:space="preserve">Потери электроэнергии в сети </t>
  </si>
  <si>
    <t xml:space="preserve">Полезный отпуск из сети </t>
  </si>
  <si>
    <t xml:space="preserve">Поступление мощности в сеть , ВСЕГО </t>
  </si>
  <si>
    <t xml:space="preserve">Потери в сети </t>
  </si>
  <si>
    <t>то же в %</t>
  </si>
  <si>
    <t>Полезный отпуск мощности потребителям</t>
  </si>
  <si>
    <t>Примечание</t>
  </si>
  <si>
    <t>х</t>
  </si>
  <si>
    <t>факт 2012 год</t>
  </si>
  <si>
    <t>ожидаемые 2013 год</t>
  </si>
  <si>
    <t>план 2014год второе полугодие</t>
  </si>
  <si>
    <t xml:space="preserve">план 2013год  </t>
  </si>
  <si>
    <t>план 2014год первое полугодие</t>
  </si>
  <si>
    <t xml:space="preserve">план 2014год </t>
  </si>
  <si>
    <t xml:space="preserve"> факт  2012 год</t>
  </si>
  <si>
    <t xml:space="preserve">план 2013 первое полугодие </t>
  </si>
  <si>
    <t>план 2013 год</t>
  </si>
  <si>
    <t xml:space="preserve">план 2014 первое полугодие </t>
  </si>
  <si>
    <t xml:space="preserve">план 2014 второе  полугодие </t>
  </si>
  <si>
    <t>план 2014 год</t>
  </si>
  <si>
    <t xml:space="preserve">ожидаемые  2013 год </t>
  </si>
  <si>
    <t xml:space="preserve">план 2013 второе полугодие </t>
  </si>
  <si>
    <t>план 2013год первое полугодие</t>
  </si>
  <si>
    <t>план 2013год второе  полугодие</t>
  </si>
  <si>
    <t>Мосэнергосбыт:</t>
  </si>
  <si>
    <t>МУП Электросеть Дубна</t>
  </si>
  <si>
    <t>Тензор</t>
  </si>
  <si>
    <t>Оборонэнергосбыт</t>
  </si>
  <si>
    <t>ОЭЗ</t>
  </si>
  <si>
    <t>Пелком Дубна;и т.д.</t>
  </si>
  <si>
    <t>АКМСС;МОДЦ;Газпомтрансгаз</t>
  </si>
  <si>
    <t xml:space="preserve">Согласовано </t>
  </si>
  <si>
    <t xml:space="preserve">ОАО "Мосэнергосбыт"                       </t>
  </si>
  <si>
    <t>подпись________________</t>
  </si>
  <si>
    <t>М.П.</t>
  </si>
  <si>
    <t>Согласовано ОАО "МОЭСК"</t>
  </si>
  <si>
    <t>подпись_______________</t>
  </si>
  <si>
    <t>м.п.</t>
  </si>
  <si>
    <t>В соответствии с п.45"Методических указаний…"</t>
  </si>
  <si>
    <t>Объединенный Институт Ядерных Исследований</t>
  </si>
  <si>
    <t>Главный энергетик Института</t>
  </si>
  <si>
    <t>Баланс электрической энергии по сетям ВН, СН1, СН2, и НН   ОИЯИ на 2014 год</t>
  </si>
  <si>
    <t>Электрическая мощность по диапазонам напряжения  ОИЯИ на 2014 год</t>
  </si>
  <si>
    <t xml:space="preserve">Согласовано ОАО"Мосэнергосбыт" </t>
  </si>
  <si>
    <t>Структура полезного отпуска электрической энергии (мощности) по группам потребителей ЭСО ОИЯИ г.Дубна.</t>
  </si>
  <si>
    <t>декабрь 2012 года</t>
  </si>
  <si>
    <t>Группа потребителей</t>
  </si>
  <si>
    <t>Объем полезного отпуска электроэнергии, тыс.кВтч.</t>
  </si>
  <si>
    <t>Заявленная (расчетная) мощность, тыс.кВт</t>
  </si>
  <si>
    <t>Число часов использования, час</t>
  </si>
  <si>
    <t xml:space="preserve">Доля потребления на разных диапазонах напряжений, % </t>
  </si>
  <si>
    <t xml:space="preserve">Всего </t>
  </si>
  <si>
    <t>Базовый период (2012 год)</t>
  </si>
  <si>
    <t>Население</t>
  </si>
  <si>
    <t>Бюджетные потребители</t>
  </si>
  <si>
    <t>Собственное производство(включая потери)</t>
  </si>
  <si>
    <t>Прочие потребители</t>
  </si>
  <si>
    <t>5.</t>
  </si>
  <si>
    <t>Транзит (смежные сети)</t>
  </si>
  <si>
    <t>ИТОГО</t>
  </si>
  <si>
    <t>Текущий период (2013 год)</t>
  </si>
  <si>
    <t>Собственное производство</t>
  </si>
  <si>
    <t>Период регулирования (2014 год)</t>
  </si>
  <si>
    <t>Период регулирования (2015 год)</t>
  </si>
  <si>
    <t>Период регулирования (2016 год)</t>
  </si>
  <si>
    <t xml:space="preserve">Начальник Дмитровского ТО </t>
  </si>
  <si>
    <t>Инженер 1 категории</t>
  </si>
  <si>
    <t>Ю.В.Попов</t>
  </si>
  <si>
    <t>Р.Я.Казаринова</t>
  </si>
  <si>
    <t>Структура полезного отпуска электрической энергии (мощности) по группам потребителей ЭСО</t>
  </si>
  <si>
    <t>ср.год.мощность 2012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</si>
</sst>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%"/>
    <numFmt numFmtId="167" formatCode="#,##0.0"/>
    <numFmt numFmtId="168" formatCode="#,##0.000"/>
    <numFmt numFmtId="169" formatCode="#,##0.0000"/>
    <numFmt numFmtId="170" formatCode="&quot;$&quot;#,##0_);[Red]\(&quot;$&quot;#,##0\)"/>
    <numFmt numFmtId="171" formatCode="_-* #,##0_$_-;\-* #,##0_$_-;_-* &quot;-&quot;_$_-;_-@_-"/>
    <numFmt numFmtId="172" formatCode="_-* #,##0.00&quot;$&quot;_-;\-* #,##0.00&quot;$&quot;_-;_-* &quot;-&quot;??&quot;$&quot;_-;_-@_-"/>
    <numFmt numFmtId="173" formatCode="_-* #,##0.00_$_-;\-* #,##0.00_$_-;_-* &quot;-&quot;??_$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0"/>
    <numFmt numFmtId="179" formatCode="#,##0.000000"/>
    <numFmt numFmtId="180" formatCode="[$-FC19]d\ mmmm\ yyyy\ &quot;г.&quot;"/>
    <numFmt numFmtId="181" formatCode="000000"/>
    <numFmt numFmtId="182" formatCode="000000.0"/>
    <numFmt numFmtId="183" formatCode="#,##0_р_."/>
    <numFmt numFmtId="184" formatCode="0.0;[Red]0.0"/>
  </numFmts>
  <fonts count="68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0"/>
      <name val="Helv"/>
      <family val="0"/>
    </font>
    <font>
      <sz val="10"/>
      <name val="Arial"/>
      <family val="2"/>
    </font>
    <font>
      <sz val="10"/>
      <name val="MS Sans Serif"/>
      <family val="2"/>
    </font>
    <font>
      <sz val="8"/>
      <name val="Optima"/>
      <family val="0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name val="Tahoma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sz val="8"/>
      <name val="Arial Cyr"/>
      <family val="0"/>
    </font>
    <font>
      <u val="single"/>
      <sz val="9"/>
      <color indexed="36"/>
      <name val="Arial Cyr"/>
      <family val="0"/>
    </font>
    <font>
      <sz val="10"/>
      <name val="Times New Roman Cyr"/>
      <family val="0"/>
    </font>
    <font>
      <sz val="11"/>
      <name val="Times New Roman"/>
      <family val="1"/>
    </font>
    <font>
      <sz val="11"/>
      <name val="Times New Roman CYR"/>
      <family val="1"/>
    </font>
    <font>
      <sz val="12"/>
      <name val="Times New Roman Cyr"/>
      <family val="1"/>
    </font>
    <font>
      <sz val="8"/>
      <name val="Times New Roman"/>
      <family val="1"/>
    </font>
    <font>
      <sz val="9"/>
      <name val="Arial Cyr"/>
      <family val="0"/>
    </font>
    <font>
      <b/>
      <sz val="13"/>
      <name val="Times New Roman"/>
      <family val="1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sz val="8"/>
      <color indexed="9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8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/>
      <top/>
      <bottom/>
    </border>
    <border>
      <left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/>
    </border>
    <border>
      <left style="thin"/>
      <right/>
      <top style="medium"/>
      <bottom/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171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0" fontId="5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7" fillId="0" borderId="0" applyNumberFormat="0">
      <alignment horizontal="left"/>
      <protection/>
    </xf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25" borderId="1" applyNumberFormat="0" applyAlignment="0" applyProtection="0"/>
    <xf numFmtId="0" fontId="54" fillId="26" borderId="2" applyNumberFormat="0" applyAlignment="0" applyProtection="0"/>
    <xf numFmtId="0" fontId="55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10" fillId="0" borderId="6" applyBorder="0">
      <alignment horizontal="center" vertical="center" wrapText="1"/>
      <protection/>
    </xf>
    <xf numFmtId="4" fontId="11" fillId="27" borderId="7" applyBorder="0">
      <alignment horizontal="right"/>
      <protection/>
    </xf>
    <xf numFmtId="0" fontId="59" fillId="0" borderId="8" applyNumberFormat="0" applyFill="0" applyAlignment="0" applyProtection="0"/>
    <xf numFmtId="0" fontId="60" fillId="28" borderId="9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19" fillId="0" borderId="0">
      <alignment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65" fillId="0" borderId="11" applyNumberFormat="0" applyFill="0" applyAlignment="0" applyProtection="0"/>
    <xf numFmtId="0" fontId="3" fillId="0" borderId="0">
      <alignment/>
      <protection/>
    </xf>
    <xf numFmtId="0" fontId="66" fillId="0" borderId="0" applyNumberForma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11" fillId="4" borderId="0" applyFont="0" applyBorder="0">
      <alignment horizontal="right"/>
      <protection/>
    </xf>
    <xf numFmtId="4" fontId="11" fillId="4" borderId="12" applyBorder="0">
      <alignment horizontal="right"/>
      <protection/>
    </xf>
    <xf numFmtId="0" fontId="67" fillId="32" borderId="0" applyNumberFormat="0" applyBorder="0" applyAlignment="0" applyProtection="0"/>
  </cellStyleXfs>
  <cellXfs count="224">
    <xf numFmtId="0" fontId="0" fillId="0" borderId="0" xfId="0" applyAlignment="1">
      <alignment/>
    </xf>
    <xf numFmtId="0" fontId="16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 vertical="top"/>
      <protection locked="0"/>
    </xf>
    <xf numFmtId="0" fontId="14" fillId="0" borderId="0" xfId="0" applyNumberFormat="1" applyFont="1" applyFill="1" applyBorder="1" applyAlignment="1" applyProtection="1">
      <alignment vertical="top" wrapText="1"/>
      <protection locked="0"/>
    </xf>
    <xf numFmtId="0" fontId="14" fillId="0" borderId="0" xfId="0" applyFont="1" applyAlignment="1" applyProtection="1">
      <alignment/>
      <protection locked="0"/>
    </xf>
    <xf numFmtId="0" fontId="14" fillId="0" borderId="0" xfId="0" applyFont="1" applyAlignment="1" applyProtection="1">
      <alignment vertical="top" wrapText="1"/>
      <protection locked="0"/>
    </xf>
    <xf numFmtId="0" fontId="14" fillId="0" borderId="0" xfId="0" applyFont="1" applyAlignment="1" applyProtection="1">
      <alignment horizontal="right" vertical="top"/>
      <protection locked="0"/>
    </xf>
    <xf numFmtId="0" fontId="13" fillId="0" borderId="13" xfId="57" applyFont="1" applyBorder="1" applyProtection="1">
      <alignment horizontal="center" vertical="center" wrapText="1"/>
      <protection locked="0"/>
    </xf>
    <xf numFmtId="0" fontId="13" fillId="0" borderId="14" xfId="57" applyFont="1" applyBorder="1" applyProtection="1">
      <alignment horizontal="center" vertical="center" wrapText="1"/>
      <protection locked="0"/>
    </xf>
    <xf numFmtId="0" fontId="13" fillId="0" borderId="15" xfId="57" applyFont="1" applyBorder="1" applyProtection="1">
      <alignment horizontal="center" vertical="center" wrapText="1"/>
      <protection locked="0"/>
    </xf>
    <xf numFmtId="0" fontId="13" fillId="0" borderId="16" xfId="57" applyFont="1" applyBorder="1" applyProtection="1">
      <alignment horizontal="center" vertical="center" wrapText="1"/>
      <protection locked="0"/>
    </xf>
    <xf numFmtId="0" fontId="13" fillId="0" borderId="17" xfId="57" applyFont="1" applyBorder="1" applyProtection="1">
      <alignment horizontal="center" vertical="center" wrapText="1"/>
      <protection locked="0"/>
    </xf>
    <xf numFmtId="0" fontId="14" fillId="0" borderId="18" xfId="57" applyFont="1" applyBorder="1" applyProtection="1">
      <alignment horizontal="center" vertical="center" wrapText="1"/>
      <protection locked="0"/>
    </xf>
    <xf numFmtId="0" fontId="14" fillId="0" borderId="19" xfId="57" applyFont="1" applyBorder="1" applyAlignment="1" applyProtection="1">
      <alignment horizontal="center" vertical="center" wrapText="1"/>
      <protection locked="0"/>
    </xf>
    <xf numFmtId="0" fontId="14" fillId="0" borderId="20" xfId="57" applyFont="1" applyBorder="1" applyProtection="1">
      <alignment horizontal="center" vertical="center" wrapText="1"/>
      <protection locked="0"/>
    </xf>
    <xf numFmtId="0" fontId="14" fillId="0" borderId="21" xfId="57" applyFont="1" applyBorder="1" applyProtection="1">
      <alignment horizontal="center" vertical="center" wrapText="1"/>
      <protection locked="0"/>
    </xf>
    <xf numFmtId="0" fontId="0" fillId="0" borderId="0" xfId="0" applyFont="1" applyAlignment="1" applyProtection="1">
      <alignment/>
      <protection locked="0"/>
    </xf>
    <xf numFmtId="0" fontId="12" fillId="0" borderId="12" xfId="0" applyFont="1" applyBorder="1" applyAlignment="1" applyProtection="1">
      <alignment/>
      <protection locked="0"/>
    </xf>
    <xf numFmtId="0" fontId="12" fillId="0" borderId="22" xfId="0" applyFont="1" applyBorder="1" applyAlignment="1" applyProtection="1">
      <alignment vertical="top" wrapText="1"/>
      <protection locked="0"/>
    </xf>
    <xf numFmtId="0" fontId="12" fillId="0" borderId="23" xfId="0" applyFont="1" applyBorder="1" applyAlignment="1" applyProtection="1">
      <alignment/>
      <protection locked="0"/>
    </xf>
    <xf numFmtId="0" fontId="12" fillId="0" borderId="24" xfId="0" applyFont="1" applyBorder="1" applyAlignment="1" applyProtection="1">
      <alignment vertical="top" wrapText="1"/>
      <protection locked="0"/>
    </xf>
    <xf numFmtId="14" fontId="12" fillId="0" borderId="23" xfId="0" applyNumberFormat="1" applyFont="1" applyBorder="1" applyAlignment="1" applyProtection="1">
      <alignment/>
      <protection locked="0"/>
    </xf>
    <xf numFmtId="0" fontId="12" fillId="0" borderId="25" xfId="0" applyFont="1" applyBorder="1" applyAlignment="1" applyProtection="1">
      <alignment vertical="top" wrapText="1"/>
      <protection locked="0"/>
    </xf>
    <xf numFmtId="0" fontId="12" fillId="0" borderId="15" xfId="0" applyFont="1" applyBorder="1" applyAlignment="1" applyProtection="1">
      <alignment/>
      <protection locked="0"/>
    </xf>
    <xf numFmtId="0" fontId="12" fillId="0" borderId="26" xfId="0" applyFont="1" applyBorder="1" applyAlignment="1" applyProtection="1">
      <alignment vertical="top" wrapText="1"/>
      <protection locked="0"/>
    </xf>
    <xf numFmtId="0" fontId="12" fillId="0" borderId="18" xfId="0" applyFont="1" applyFill="1" applyBorder="1" applyAlignment="1" applyProtection="1">
      <alignment/>
      <protection locked="0"/>
    </xf>
    <xf numFmtId="0" fontId="12" fillId="0" borderId="19" xfId="0" applyFont="1" applyFill="1" applyBorder="1" applyAlignment="1" applyProtection="1">
      <alignment vertical="top" wrapText="1"/>
      <protection locked="0"/>
    </xf>
    <xf numFmtId="0" fontId="16" fillId="0" borderId="0" xfId="0" applyFont="1" applyFill="1" applyAlignment="1" applyProtection="1">
      <alignment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 vertical="top" wrapText="1"/>
      <protection locked="0"/>
    </xf>
    <xf numFmtId="168" fontId="12" fillId="0" borderId="0" xfId="77" applyNumberFormat="1" applyFont="1" applyFill="1" applyBorder="1" applyProtection="1">
      <alignment horizontal="right"/>
      <protection locked="0"/>
    </xf>
    <xf numFmtId="168" fontId="12" fillId="0" borderId="0" xfId="58" applyNumberFormat="1" applyFont="1" applyFill="1" applyBorder="1" applyProtection="1">
      <alignment horizontal="right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3" fillId="0" borderId="12" xfId="0" applyFont="1" applyBorder="1" applyAlignment="1" applyProtection="1">
      <alignment horizontal="center" vertical="center"/>
      <protection locked="0"/>
    </xf>
    <xf numFmtId="49" fontId="13" fillId="0" borderId="13" xfId="0" applyNumberFormat="1" applyFont="1" applyBorder="1" applyAlignment="1" applyProtection="1">
      <alignment wrapText="1"/>
      <protection locked="0"/>
    </xf>
    <xf numFmtId="0" fontId="12" fillId="0" borderId="23" xfId="0" applyFont="1" applyBorder="1" applyAlignment="1" applyProtection="1">
      <alignment/>
      <protection locked="0"/>
    </xf>
    <xf numFmtId="0" fontId="12" fillId="0" borderId="7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2" fillId="33" borderId="0" xfId="49" applyFill="1" applyBorder="1" applyAlignment="1" applyProtection="1">
      <alignment horizontal="center"/>
      <protection locked="0"/>
    </xf>
    <xf numFmtId="0" fontId="12" fillId="0" borderId="18" xfId="49" applyFont="1" applyFill="1" applyBorder="1" applyAlignment="1" applyProtection="1">
      <alignment horizontal="center"/>
      <protection locked="0"/>
    </xf>
    <xf numFmtId="0" fontId="12" fillId="0" borderId="20" xfId="49" applyFont="1" applyFill="1" applyBorder="1" applyAlignment="1" applyProtection="1">
      <alignment horizontal="left"/>
      <protection locked="0"/>
    </xf>
    <xf numFmtId="0" fontId="16" fillId="0" borderId="23" xfId="0" applyFont="1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0" fontId="12" fillId="0" borderId="0" xfId="0" applyFont="1" applyAlignment="1" applyProtection="1">
      <alignment horizontal="right" vertical="top"/>
      <protection locked="0"/>
    </xf>
    <xf numFmtId="0" fontId="12" fillId="0" borderId="18" xfId="0" applyFont="1" applyBorder="1" applyAlignment="1" applyProtection="1">
      <alignment/>
      <protection locked="0"/>
    </xf>
    <xf numFmtId="49" fontId="12" fillId="0" borderId="0" xfId="0" applyNumberFormat="1" applyFont="1" applyAlignment="1" applyProtection="1">
      <alignment wrapText="1"/>
      <protection locked="0"/>
    </xf>
    <xf numFmtId="0" fontId="12" fillId="33" borderId="0" xfId="0" applyFont="1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169" fontId="12" fillId="4" borderId="12" xfId="77" applyNumberFormat="1" applyFont="1" applyBorder="1" applyProtection="1">
      <alignment horizontal="right"/>
      <protection/>
    </xf>
    <xf numFmtId="169" fontId="12" fillId="4" borderId="13" xfId="77" applyNumberFormat="1" applyFont="1" applyBorder="1" applyProtection="1">
      <alignment horizontal="right"/>
      <protection/>
    </xf>
    <xf numFmtId="169" fontId="12" fillId="4" borderId="14" xfId="77" applyNumberFormat="1" applyFont="1" applyBorder="1" applyProtection="1">
      <alignment horizontal="right"/>
      <protection/>
    </xf>
    <xf numFmtId="169" fontId="12" fillId="4" borderId="7" xfId="77" applyNumberFormat="1" applyFont="1" applyBorder="1" applyProtection="1">
      <alignment horizontal="right"/>
      <protection/>
    </xf>
    <xf numFmtId="169" fontId="12" fillId="4" borderId="25" xfId="77" applyNumberFormat="1" applyFont="1" applyBorder="1" applyProtection="1">
      <alignment horizontal="right"/>
      <protection/>
    </xf>
    <xf numFmtId="169" fontId="12" fillId="0" borderId="23" xfId="0" applyNumberFormat="1" applyFont="1" applyBorder="1" applyAlignment="1" applyProtection="1">
      <alignment horizontal="center"/>
      <protection locked="0"/>
    </xf>
    <xf numFmtId="169" fontId="12" fillId="0" borderId="7" xfId="77" applyNumberFormat="1" applyFont="1" applyFill="1" applyBorder="1" applyAlignment="1" applyProtection="1">
      <alignment horizontal="center"/>
      <protection locked="0"/>
    </xf>
    <xf numFmtId="169" fontId="12" fillId="0" borderId="7" xfId="0" applyNumberFormat="1" applyFont="1" applyBorder="1" applyAlignment="1" applyProtection="1">
      <alignment horizontal="center"/>
      <protection locked="0"/>
    </xf>
    <xf numFmtId="169" fontId="12" fillId="0" borderId="25" xfId="0" applyNumberFormat="1" applyFont="1" applyBorder="1" applyAlignment="1" applyProtection="1">
      <alignment horizontal="center"/>
      <protection locked="0"/>
    </xf>
    <xf numFmtId="169" fontId="12" fillId="0" borderId="7" xfId="58" applyNumberFormat="1" applyFont="1" applyFill="1" applyBorder="1" applyAlignment="1" applyProtection="1">
      <alignment horizontal="center"/>
      <protection locked="0"/>
    </xf>
    <xf numFmtId="169" fontId="12" fillId="27" borderId="7" xfId="58" applyNumberFormat="1" applyFont="1" applyBorder="1" applyProtection="1">
      <alignment horizontal="right"/>
      <protection locked="0"/>
    </xf>
    <xf numFmtId="169" fontId="12" fillId="4" borderId="7" xfId="58" applyNumberFormat="1" applyFont="1" applyFill="1" applyBorder="1" applyProtection="1">
      <alignment horizontal="right"/>
      <protection/>
    </xf>
    <xf numFmtId="169" fontId="12" fillId="27" borderId="25" xfId="58" applyNumberFormat="1" applyFont="1" applyFill="1" applyBorder="1" applyProtection="1">
      <alignment horizontal="right"/>
      <protection locked="0"/>
    </xf>
    <xf numFmtId="169" fontId="12" fillId="4" borderId="25" xfId="58" applyNumberFormat="1" applyFont="1" applyFill="1" applyBorder="1" applyProtection="1">
      <alignment horizontal="right"/>
      <protection/>
    </xf>
    <xf numFmtId="169" fontId="12" fillId="4" borderId="23" xfId="77" applyNumberFormat="1" applyFont="1" applyBorder="1" applyProtection="1">
      <alignment horizontal="right"/>
      <protection/>
    </xf>
    <xf numFmtId="169" fontId="12" fillId="27" borderId="7" xfId="58" applyNumberFormat="1" applyFont="1" applyFill="1" applyBorder="1" applyAlignment="1" applyProtection="1">
      <alignment horizontal="center"/>
      <protection locked="0"/>
    </xf>
    <xf numFmtId="169" fontId="12" fillId="27" borderId="7" xfId="58" applyNumberFormat="1" applyFont="1" applyFill="1" applyBorder="1" applyProtection="1">
      <alignment horizontal="right"/>
      <protection locked="0"/>
    </xf>
    <xf numFmtId="169" fontId="12" fillId="27" borderId="7" xfId="77" applyNumberFormat="1" applyFont="1" applyFill="1" applyBorder="1" applyProtection="1">
      <alignment horizontal="right"/>
      <protection locked="0"/>
    </xf>
    <xf numFmtId="169" fontId="12" fillId="27" borderId="25" xfId="77" applyNumberFormat="1" applyFont="1" applyFill="1" applyBorder="1" applyProtection="1">
      <alignment horizontal="right"/>
      <protection locked="0"/>
    </xf>
    <xf numFmtId="169" fontId="12" fillId="27" borderId="25" xfId="58" applyNumberFormat="1" applyFont="1" applyBorder="1" applyProtection="1">
      <alignment horizontal="right"/>
      <protection locked="0"/>
    </xf>
    <xf numFmtId="169" fontId="12" fillId="4" borderId="15" xfId="77" applyNumberFormat="1" applyFont="1" applyBorder="1" applyProtection="1">
      <alignment horizontal="right"/>
      <protection/>
    </xf>
    <xf numFmtId="169" fontId="12" fillId="27" borderId="16" xfId="58" applyNumberFormat="1" applyFont="1" applyBorder="1" applyProtection="1">
      <alignment horizontal="right"/>
      <protection locked="0"/>
    </xf>
    <xf numFmtId="169" fontId="12" fillId="27" borderId="17" xfId="58" applyNumberFormat="1" applyFont="1" applyBorder="1" applyProtection="1">
      <alignment horizontal="right"/>
      <protection locked="0"/>
    </xf>
    <xf numFmtId="169" fontId="12" fillId="0" borderId="18" xfId="77" applyNumberFormat="1" applyFont="1" applyFill="1" applyBorder="1" applyProtection="1">
      <alignment horizontal="right"/>
      <protection/>
    </xf>
    <xf numFmtId="169" fontId="0" fillId="0" borderId="20" xfId="75" applyNumberFormat="1" applyFont="1" applyBorder="1" applyAlignment="1" applyProtection="1">
      <alignment vertical="top"/>
      <protection/>
    </xf>
    <xf numFmtId="169" fontId="0" fillId="0" borderId="21" xfId="75" applyNumberFormat="1" applyFont="1" applyBorder="1" applyAlignment="1" applyProtection="1">
      <alignment vertical="top"/>
      <protection/>
    </xf>
    <xf numFmtId="169" fontId="12" fillId="0" borderId="27" xfId="77" applyNumberFormat="1" applyFont="1" applyFill="1" applyBorder="1" applyProtection="1">
      <alignment horizontal="right"/>
      <protection/>
    </xf>
    <xf numFmtId="169" fontId="0" fillId="0" borderId="19" xfId="75" applyNumberFormat="1" applyFont="1" applyBorder="1" applyAlignment="1" applyProtection="1">
      <alignment vertical="top"/>
      <protection/>
    </xf>
    <xf numFmtId="165" fontId="12" fillId="4" borderId="7" xfId="0" applyNumberFormat="1" applyFont="1" applyFill="1" applyBorder="1" applyAlignment="1" applyProtection="1">
      <alignment/>
      <protection/>
    </xf>
    <xf numFmtId="165" fontId="12" fillId="27" borderId="7" xfId="0" applyNumberFormat="1" applyFont="1" applyFill="1" applyBorder="1" applyAlignment="1" applyProtection="1">
      <alignment/>
      <protection locked="0"/>
    </xf>
    <xf numFmtId="165" fontId="12" fillId="27" borderId="25" xfId="0" applyNumberFormat="1" applyFont="1" applyFill="1" applyBorder="1" applyAlignment="1" applyProtection="1">
      <alignment/>
      <protection locked="0"/>
    </xf>
    <xf numFmtId="165" fontId="2" fillId="33" borderId="0" xfId="49" applyNumberFormat="1" applyFill="1" applyBorder="1" applyAlignment="1" applyProtection="1">
      <alignment horizontal="center"/>
      <protection locked="0"/>
    </xf>
    <xf numFmtId="165" fontId="12" fillId="4" borderId="20" xfId="49" applyNumberFormat="1" applyFont="1" applyFill="1" applyBorder="1" applyAlignment="1" applyProtection="1">
      <alignment horizontal="right"/>
      <protection/>
    </xf>
    <xf numFmtId="165" fontId="12" fillId="4" borderId="21" xfId="49" applyNumberFormat="1" applyFont="1" applyFill="1" applyBorder="1" applyAlignment="1" applyProtection="1">
      <alignment horizontal="right"/>
      <protection/>
    </xf>
    <xf numFmtId="165" fontId="12" fillId="4" borderId="20" xfId="0" applyNumberFormat="1" applyFont="1" applyFill="1" applyBorder="1" applyAlignment="1" applyProtection="1">
      <alignment/>
      <protection/>
    </xf>
    <xf numFmtId="165" fontId="12" fillId="4" borderId="21" xfId="0" applyNumberFormat="1" applyFont="1" applyFill="1" applyBorder="1" applyAlignment="1" applyProtection="1">
      <alignment/>
      <protection/>
    </xf>
    <xf numFmtId="165" fontId="12" fillId="4" borderId="20" xfId="0" applyNumberFormat="1" applyFont="1" applyFill="1" applyBorder="1" applyAlignment="1" applyProtection="1">
      <alignment/>
      <protection/>
    </xf>
    <xf numFmtId="165" fontId="12" fillId="4" borderId="21" xfId="0" applyNumberFormat="1" applyFont="1" applyFill="1" applyBorder="1" applyAlignment="1" applyProtection="1">
      <alignment/>
      <protection/>
    </xf>
    <xf numFmtId="169" fontId="12" fillId="0" borderId="23" xfId="0" applyNumberFormat="1" applyFont="1" applyFill="1" applyBorder="1" applyAlignment="1" applyProtection="1">
      <alignment horizontal="center"/>
      <protection locked="0"/>
    </xf>
    <xf numFmtId="169" fontId="12" fillId="0" borderId="7" xfId="0" applyNumberFormat="1" applyFont="1" applyFill="1" applyBorder="1" applyAlignment="1" applyProtection="1">
      <alignment horizontal="center"/>
      <protection locked="0"/>
    </xf>
    <xf numFmtId="169" fontId="12" fillId="4" borderId="23" xfId="77" applyNumberFormat="1" applyFont="1" applyFill="1" applyBorder="1" applyProtection="1">
      <alignment horizontal="right"/>
      <protection/>
    </xf>
    <xf numFmtId="169" fontId="12" fillId="4" borderId="23" xfId="77" applyNumberFormat="1" applyFont="1" applyBorder="1" applyProtection="1">
      <alignment horizontal="right"/>
      <protection/>
    </xf>
    <xf numFmtId="169" fontId="12" fillId="27" borderId="7" xfId="77" applyNumberFormat="1" applyFont="1" applyFill="1" applyBorder="1" applyProtection="1">
      <alignment horizontal="right"/>
      <protection locked="0"/>
    </xf>
    <xf numFmtId="169" fontId="12" fillId="27" borderId="25" xfId="77" applyNumberFormat="1" applyFont="1" applyFill="1" applyBorder="1" applyProtection="1">
      <alignment horizontal="right"/>
      <protection locked="0"/>
    </xf>
    <xf numFmtId="165" fontId="12" fillId="33" borderId="0" xfId="0" applyNumberFormat="1" applyFont="1" applyFill="1" applyBorder="1" applyAlignment="1" applyProtection="1">
      <alignment/>
      <protection locked="0"/>
    </xf>
    <xf numFmtId="165" fontId="12" fillId="4" borderId="7" xfId="0" applyNumberFormat="1" applyFont="1" applyFill="1" applyBorder="1" applyAlignment="1" applyProtection="1">
      <alignment/>
      <protection locked="0"/>
    </xf>
    <xf numFmtId="165" fontId="12" fillId="4" borderId="20" xfId="49" applyNumberFormat="1" applyFont="1" applyFill="1" applyBorder="1" applyAlignment="1" applyProtection="1">
      <alignment horizontal="right"/>
      <protection locked="0"/>
    </xf>
    <xf numFmtId="165" fontId="12" fillId="4" borderId="21" xfId="49" applyNumberFormat="1" applyFont="1" applyFill="1" applyBorder="1" applyAlignment="1" applyProtection="1">
      <alignment horizontal="right"/>
      <protection locked="0"/>
    </xf>
    <xf numFmtId="165" fontId="12" fillId="4" borderId="20" xfId="0" applyNumberFormat="1" applyFont="1" applyFill="1" applyBorder="1" applyAlignment="1" applyProtection="1">
      <alignment/>
      <protection locked="0"/>
    </xf>
    <xf numFmtId="165" fontId="12" fillId="4" borderId="21" xfId="0" applyNumberFormat="1" applyFont="1" applyFill="1" applyBorder="1" applyAlignment="1" applyProtection="1">
      <alignment/>
      <protection locked="0"/>
    </xf>
    <xf numFmtId="165" fontId="12" fillId="4" borderId="20" xfId="0" applyNumberFormat="1" applyFont="1" applyFill="1" applyBorder="1" applyAlignment="1" applyProtection="1">
      <alignment/>
      <protection locked="0"/>
    </xf>
    <xf numFmtId="165" fontId="12" fillId="4" borderId="21" xfId="0" applyNumberFormat="1" applyFont="1" applyFill="1" applyBorder="1" applyAlignment="1" applyProtection="1">
      <alignment/>
      <protection locked="0"/>
    </xf>
    <xf numFmtId="169" fontId="16" fillId="0" borderId="18" xfId="0" applyNumberFormat="1" applyFont="1" applyBorder="1" applyAlignment="1" applyProtection="1">
      <alignment/>
      <protection/>
    </xf>
    <xf numFmtId="169" fontId="12" fillId="0" borderId="18" xfId="0" applyNumberFormat="1" applyFont="1" applyBorder="1" applyAlignment="1" applyProtection="1">
      <alignment/>
      <protection/>
    </xf>
    <xf numFmtId="0" fontId="12" fillId="0" borderId="19" xfId="0" applyFont="1" applyBorder="1" applyAlignment="1" applyProtection="1">
      <alignment/>
      <protection locked="0"/>
    </xf>
    <xf numFmtId="169" fontId="12" fillId="4" borderId="12" xfId="77" applyNumberFormat="1" applyFont="1" applyBorder="1" applyProtection="1">
      <alignment horizontal="right"/>
      <protection locked="0"/>
    </xf>
    <xf numFmtId="169" fontId="12" fillId="4" borderId="13" xfId="77" applyNumberFormat="1" applyFont="1" applyBorder="1" applyProtection="1">
      <alignment horizontal="right"/>
      <protection locked="0"/>
    </xf>
    <xf numFmtId="169" fontId="12" fillId="4" borderId="14" xfId="77" applyNumberFormat="1" applyFont="1" applyBorder="1" applyProtection="1">
      <alignment horizontal="right"/>
      <protection locked="0"/>
    </xf>
    <xf numFmtId="169" fontId="12" fillId="4" borderId="7" xfId="77" applyNumberFormat="1" applyFont="1" applyBorder="1" applyProtection="1">
      <alignment horizontal="right"/>
      <protection locked="0"/>
    </xf>
    <xf numFmtId="169" fontId="12" fillId="4" borderId="25" xfId="77" applyNumberFormat="1" applyFont="1" applyBorder="1" applyProtection="1">
      <alignment horizontal="right"/>
      <protection locked="0"/>
    </xf>
    <xf numFmtId="169" fontId="12" fillId="4" borderId="7" xfId="58" applyNumberFormat="1" applyFont="1" applyFill="1" applyBorder="1" applyProtection="1">
      <alignment horizontal="right"/>
      <protection locked="0"/>
    </xf>
    <xf numFmtId="169" fontId="12" fillId="4" borderId="25" xfId="58" applyNumberFormat="1" applyFont="1" applyFill="1" applyBorder="1" applyProtection="1">
      <alignment horizontal="right"/>
      <protection locked="0"/>
    </xf>
    <xf numFmtId="169" fontId="12" fillId="4" borderId="23" xfId="77" applyNumberFormat="1" applyFont="1" applyBorder="1" applyProtection="1">
      <alignment horizontal="right"/>
      <protection locked="0"/>
    </xf>
    <xf numFmtId="169" fontId="12" fillId="4" borderId="15" xfId="77" applyNumberFormat="1" applyFont="1" applyBorder="1" applyProtection="1">
      <alignment horizontal="right"/>
      <protection locked="0"/>
    </xf>
    <xf numFmtId="169" fontId="12" fillId="0" borderId="18" xfId="77" applyNumberFormat="1" applyFont="1" applyFill="1" applyBorder="1" applyProtection="1">
      <alignment horizontal="right"/>
      <protection locked="0"/>
    </xf>
    <xf numFmtId="169" fontId="0" fillId="0" borderId="20" xfId="75" applyNumberFormat="1" applyFont="1" applyBorder="1" applyAlignment="1" applyProtection="1">
      <alignment vertical="top"/>
      <protection locked="0"/>
    </xf>
    <xf numFmtId="169" fontId="0" fillId="0" borderId="21" xfId="75" applyNumberFormat="1" applyFont="1" applyBorder="1" applyAlignment="1" applyProtection="1">
      <alignment vertical="top"/>
      <protection locked="0"/>
    </xf>
    <xf numFmtId="169" fontId="12" fillId="4" borderId="23" xfId="77" applyNumberFormat="1" applyFont="1" applyFill="1" applyBorder="1" applyProtection="1">
      <alignment horizontal="right"/>
      <protection locked="0"/>
    </xf>
    <xf numFmtId="169" fontId="12" fillId="4" borderId="23" xfId="77" applyNumberFormat="1" applyFont="1" applyBorder="1" applyProtection="1">
      <alignment horizontal="right"/>
      <protection locked="0"/>
    </xf>
    <xf numFmtId="169" fontId="16" fillId="0" borderId="18" xfId="0" applyNumberFormat="1" applyFont="1" applyBorder="1" applyAlignment="1" applyProtection="1">
      <alignment/>
      <protection locked="0"/>
    </xf>
    <xf numFmtId="0" fontId="12" fillId="0" borderId="0" xfId="63" applyFont="1" applyFill="1" applyBorder="1" applyAlignment="1" applyProtection="1">
      <alignment wrapText="1"/>
      <protection locked="0"/>
    </xf>
    <xf numFmtId="0" fontId="12" fillId="0" borderId="28" xfId="0" applyFont="1" applyBorder="1" applyAlignment="1" applyProtection="1">
      <alignment/>
      <protection locked="0"/>
    </xf>
    <xf numFmtId="165" fontId="20" fillId="27" borderId="7" xfId="0" applyNumberFormat="1" applyFont="1" applyFill="1" applyBorder="1" applyAlignment="1" applyProtection="1">
      <alignment/>
      <protection locked="0"/>
    </xf>
    <xf numFmtId="0" fontId="21" fillId="0" borderId="0" xfId="64" applyNumberFormat="1" applyFont="1" applyFill="1" applyBorder="1" applyAlignment="1" applyProtection="1">
      <alignment vertical="top" wrapText="1"/>
      <protection locked="0"/>
    </xf>
    <xf numFmtId="0" fontId="21" fillId="0" borderId="0" xfId="63" applyFont="1" applyBorder="1" applyAlignment="1" applyProtection="1">
      <alignment wrapText="1"/>
      <protection locked="0"/>
    </xf>
    <xf numFmtId="0" fontId="21" fillId="0" borderId="0" xfId="63" applyFont="1" applyBorder="1" applyProtection="1">
      <alignment/>
      <protection locked="0"/>
    </xf>
    <xf numFmtId="184" fontId="21" fillId="0" borderId="0" xfId="64" applyNumberFormat="1" applyFont="1" applyFill="1" applyBorder="1" applyAlignment="1" applyProtection="1">
      <alignment vertical="top"/>
      <protection locked="0"/>
    </xf>
    <xf numFmtId="184" fontId="21" fillId="0" borderId="0" xfId="63" applyNumberFormat="1" applyFont="1" applyBorder="1" applyProtection="1">
      <alignment/>
      <protection locked="0"/>
    </xf>
    <xf numFmtId="0" fontId="19" fillId="0" borderId="0" xfId="63" applyProtection="1">
      <alignment/>
      <protection locked="0"/>
    </xf>
    <xf numFmtId="0" fontId="22" fillId="0" borderId="0" xfId="64" applyNumberFormat="1" applyFont="1" applyFill="1" applyBorder="1" applyAlignment="1" applyProtection="1">
      <alignment vertical="top"/>
      <protection locked="0"/>
    </xf>
    <xf numFmtId="169" fontId="16" fillId="0" borderId="0" xfId="0" applyNumberFormat="1" applyFont="1" applyAlignment="1" applyProtection="1">
      <alignment/>
      <protection locked="0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4" fontId="24" fillId="0" borderId="0" xfId="0" applyNumberFormat="1" applyFont="1" applyAlignment="1">
      <alignment/>
    </xf>
    <xf numFmtId="0" fontId="14" fillId="0" borderId="0" xfId="0" applyFont="1" applyAlignment="1">
      <alignment horizontal="right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68" fontId="20" fillId="0" borderId="0" xfId="0" applyNumberFormat="1" applyFont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7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/>
    </xf>
    <xf numFmtId="0" fontId="23" fillId="0" borderId="7" xfId="0" applyFont="1" applyFill="1" applyBorder="1" applyAlignment="1">
      <alignment horizontal="left" vertical="top"/>
    </xf>
    <xf numFmtId="0" fontId="14" fillId="0" borderId="7" xfId="0" applyFont="1" applyFill="1" applyBorder="1" applyAlignment="1">
      <alignment wrapText="1"/>
    </xf>
    <xf numFmtId="168" fontId="29" fillId="0" borderId="7" xfId="0" applyNumberFormat="1" applyFont="1" applyFill="1" applyBorder="1" applyAlignment="1">
      <alignment/>
    </xf>
    <xf numFmtId="4" fontId="29" fillId="0" borderId="7" xfId="0" applyNumberFormat="1" applyFont="1" applyFill="1" applyBorder="1" applyAlignment="1">
      <alignment/>
    </xf>
    <xf numFmtId="168" fontId="30" fillId="0" borderId="24" xfId="0" applyNumberFormat="1" applyFont="1" applyFill="1" applyBorder="1" applyAlignment="1">
      <alignment/>
    </xf>
    <xf numFmtId="4" fontId="30" fillId="0" borderId="7" xfId="0" applyNumberFormat="1" applyFont="1" applyFill="1" applyBorder="1" applyAlignment="1">
      <alignment/>
    </xf>
    <xf numFmtId="3" fontId="30" fillId="0" borderId="7" xfId="0" applyNumberFormat="1" applyFont="1" applyFill="1" applyBorder="1" applyAlignment="1">
      <alignment/>
    </xf>
    <xf numFmtId="4" fontId="30" fillId="0" borderId="29" xfId="0" applyNumberFormat="1" applyFont="1" applyFill="1" applyBorder="1" applyAlignment="1">
      <alignment/>
    </xf>
    <xf numFmtId="4" fontId="23" fillId="0" borderId="7" xfId="0" applyNumberFormat="1" applyFont="1" applyFill="1" applyBorder="1" applyAlignment="1">
      <alignment/>
    </xf>
    <xf numFmtId="4" fontId="30" fillId="0" borderId="24" xfId="0" applyNumberFormat="1" applyFont="1" applyFill="1" applyBorder="1" applyAlignment="1">
      <alignment/>
    </xf>
    <xf numFmtId="169" fontId="30" fillId="0" borderId="7" xfId="0" applyNumberFormat="1" applyFont="1" applyFill="1" applyBorder="1" applyAlignment="1">
      <alignment/>
    </xf>
    <xf numFmtId="168" fontId="30" fillId="0" borderId="7" xfId="0" applyNumberFormat="1" applyFont="1" applyFill="1" applyBorder="1" applyAlignment="1">
      <alignment/>
    </xf>
    <xf numFmtId="4" fontId="31" fillId="0" borderId="7" xfId="0" applyNumberFormat="1" applyFont="1" applyFill="1" applyBorder="1" applyAlignment="1">
      <alignment/>
    </xf>
    <xf numFmtId="4" fontId="32" fillId="0" borderId="7" xfId="0" applyNumberFormat="1" applyFont="1" applyFill="1" applyBorder="1" applyAlignment="1">
      <alignment/>
    </xf>
    <xf numFmtId="167" fontId="30" fillId="0" borderId="7" xfId="0" applyNumberFormat="1" applyFont="1" applyFill="1" applyBorder="1" applyAlignment="1">
      <alignment/>
    </xf>
    <xf numFmtId="169" fontId="31" fillId="0" borderId="7" xfId="0" applyNumberFormat="1" applyFont="1" applyFill="1" applyBorder="1" applyAlignment="1">
      <alignment/>
    </xf>
    <xf numFmtId="4" fontId="23" fillId="0" borderId="7" xfId="77" applyNumberFormat="1" applyFont="1" applyFill="1" applyBorder="1" applyProtection="1">
      <alignment horizontal="right"/>
      <protection locked="0"/>
    </xf>
    <xf numFmtId="4" fontId="14" fillId="0" borderId="7" xfId="0" applyNumberFormat="1" applyFont="1" applyFill="1" applyBorder="1" applyAlignment="1">
      <alignment wrapText="1"/>
    </xf>
    <xf numFmtId="4" fontId="29" fillId="0" borderId="24" xfId="0" applyNumberFormat="1" applyFont="1" applyFill="1" applyBorder="1" applyAlignment="1">
      <alignment/>
    </xf>
    <xf numFmtId="0" fontId="27" fillId="0" borderId="7" xfId="0" applyFont="1" applyFill="1" applyBorder="1" applyAlignment="1">
      <alignment wrapText="1"/>
    </xf>
    <xf numFmtId="3" fontId="30" fillId="0" borderId="29" xfId="0" applyNumberFormat="1" applyFont="1" applyFill="1" applyBorder="1" applyAlignment="1">
      <alignment/>
    </xf>
    <xf numFmtId="167" fontId="30" fillId="0" borderId="24" xfId="0" applyNumberFormat="1" applyFont="1" applyFill="1" applyBorder="1" applyAlignment="1">
      <alignment/>
    </xf>
    <xf numFmtId="0" fontId="23" fillId="0" borderId="7" xfId="0" applyFont="1" applyFill="1" applyBorder="1" applyAlignment="1">
      <alignment horizontal="left" vertical="center"/>
    </xf>
    <xf numFmtId="178" fontId="30" fillId="0" borderId="7" xfId="0" applyNumberFormat="1" applyFont="1" applyFill="1" applyBorder="1" applyAlignment="1">
      <alignment/>
    </xf>
    <xf numFmtId="168" fontId="31" fillId="0" borderId="7" xfId="0" applyNumberFormat="1" applyFont="1" applyFill="1" applyBorder="1" applyAlignment="1">
      <alignment/>
    </xf>
    <xf numFmtId="0" fontId="14" fillId="0" borderId="0" xfId="0" applyFont="1" applyAlignment="1">
      <alignment/>
    </xf>
    <xf numFmtId="0" fontId="0" fillId="0" borderId="0" xfId="0" applyBorder="1" applyAlignment="1">
      <alignment/>
    </xf>
    <xf numFmtId="164" fontId="23" fillId="0" borderId="7" xfId="0" applyNumberFormat="1" applyFont="1" applyFill="1" applyBorder="1" applyAlignment="1">
      <alignment/>
    </xf>
    <xf numFmtId="0" fontId="0" fillId="0" borderId="30" xfId="0" applyBorder="1" applyAlignment="1">
      <alignment/>
    </xf>
    <xf numFmtId="3" fontId="30" fillId="0" borderId="31" xfId="0" applyNumberFormat="1" applyFont="1" applyFill="1" applyBorder="1" applyAlignment="1">
      <alignment/>
    </xf>
    <xf numFmtId="3" fontId="30" fillId="0" borderId="24" xfId="0" applyNumberFormat="1" applyFont="1" applyFill="1" applyBorder="1" applyAlignment="1">
      <alignment/>
    </xf>
    <xf numFmtId="0" fontId="23" fillId="0" borderId="29" xfId="0" applyFont="1" applyFill="1" applyBorder="1" applyAlignment="1">
      <alignment horizontal="left" vertical="top"/>
    </xf>
    <xf numFmtId="0" fontId="23" fillId="0" borderId="0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4" fontId="30" fillId="0" borderId="0" xfId="0" applyNumberFormat="1" applyFont="1" applyFill="1" applyBorder="1" applyAlignment="1">
      <alignment/>
    </xf>
    <xf numFmtId="3" fontId="30" fillId="0" borderId="0" xfId="0" applyNumberFormat="1" applyFont="1" applyFill="1" applyBorder="1" applyAlignment="1">
      <alignment/>
    </xf>
    <xf numFmtId="0" fontId="2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169" fontId="12" fillId="0" borderId="0" xfId="0" applyNumberFormat="1" applyFont="1" applyAlignment="1" applyProtection="1">
      <alignment/>
      <protection locked="0"/>
    </xf>
    <xf numFmtId="0" fontId="25" fillId="0" borderId="0" xfId="0" applyFont="1" applyAlignment="1">
      <alignment horizontal="center"/>
    </xf>
    <xf numFmtId="0" fontId="23" fillId="0" borderId="16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29" xfId="0" applyBorder="1" applyAlignment="1">
      <alignment/>
    </xf>
    <xf numFmtId="0" fontId="19" fillId="0" borderId="24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wrapText="1"/>
    </xf>
    <xf numFmtId="0" fontId="19" fillId="0" borderId="31" xfId="0" applyFont="1" applyBorder="1" applyAlignment="1">
      <alignment horizontal="center" wrapText="1"/>
    </xf>
    <xf numFmtId="0" fontId="19" fillId="0" borderId="29" xfId="0" applyFont="1" applyBorder="1" applyAlignment="1">
      <alignment horizontal="center" wrapText="1"/>
    </xf>
    <xf numFmtId="0" fontId="27" fillId="0" borderId="24" xfId="0" applyFont="1" applyBorder="1" applyAlignment="1">
      <alignment horizontal="center"/>
    </xf>
    <xf numFmtId="0" fontId="28" fillId="0" borderId="31" xfId="0" applyFont="1" applyBorder="1" applyAlignment="1">
      <alignment horizontal="center"/>
    </xf>
    <xf numFmtId="0" fontId="28" fillId="0" borderId="29" xfId="0" applyFont="1" applyBorder="1" applyAlignment="1">
      <alignment horizontal="center"/>
    </xf>
    <xf numFmtId="0" fontId="27" fillId="0" borderId="24" xfId="0" applyFont="1" applyFill="1" applyBorder="1" applyAlignment="1">
      <alignment horizontal="center"/>
    </xf>
    <xf numFmtId="0" fontId="28" fillId="0" borderId="31" xfId="0" applyFont="1" applyFill="1" applyBorder="1" applyAlignment="1">
      <alignment horizontal="center"/>
    </xf>
    <xf numFmtId="0" fontId="28" fillId="0" borderId="29" xfId="0" applyFont="1" applyFill="1" applyBorder="1" applyAlignment="1">
      <alignment horizontal="center"/>
    </xf>
    <xf numFmtId="0" fontId="23" fillId="0" borderId="33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wrapText="1"/>
    </xf>
    <xf numFmtId="0" fontId="33" fillId="0" borderId="24" xfId="0" applyFont="1" applyFill="1" applyBorder="1" applyAlignment="1">
      <alignment horizontal="center"/>
    </xf>
    <xf numFmtId="0" fontId="34" fillId="0" borderId="31" xfId="0" applyFont="1" applyFill="1" applyBorder="1" applyAlignment="1">
      <alignment horizontal="center"/>
    </xf>
    <xf numFmtId="0" fontId="34" fillId="0" borderId="29" xfId="0" applyFont="1" applyFill="1" applyBorder="1" applyAlignment="1">
      <alignment horizontal="center"/>
    </xf>
    <xf numFmtId="0" fontId="2" fillId="33" borderId="0" xfId="49" applyFill="1" applyBorder="1" applyAlignment="1" applyProtection="1">
      <alignment horizontal="center"/>
      <protection locked="0"/>
    </xf>
    <xf numFmtId="0" fontId="13" fillId="0" borderId="12" xfId="57" applyFont="1" applyBorder="1" applyProtection="1">
      <alignment horizontal="center" vertical="center" wrapText="1"/>
      <protection locked="0"/>
    </xf>
    <xf numFmtId="0" fontId="13" fillId="0" borderId="13" xfId="57" applyFont="1" applyBorder="1" applyProtection="1">
      <alignment horizontal="center" vertical="center" wrapText="1"/>
      <protection locked="0"/>
    </xf>
    <xf numFmtId="0" fontId="13" fillId="0" borderId="14" xfId="57" applyFont="1" applyBorder="1" applyProtection="1">
      <alignment horizontal="center" vertical="center" wrapText="1"/>
      <protection locked="0"/>
    </xf>
    <xf numFmtId="0" fontId="2" fillId="33" borderId="0" xfId="49" applyFont="1" applyFill="1" applyBorder="1" applyAlignment="1" applyProtection="1">
      <alignment horizontal="center"/>
      <protection locked="0"/>
    </xf>
    <xf numFmtId="0" fontId="12" fillId="0" borderId="0" xfId="0" applyFont="1" applyFill="1" applyAlignment="1" applyProtection="1">
      <alignment horizontal="center"/>
      <protection locked="0"/>
    </xf>
    <xf numFmtId="0" fontId="15" fillId="0" borderId="0" xfId="52" applyFont="1" applyAlignment="1" applyProtection="1">
      <alignment horizontal="center" vertical="center" wrapText="1"/>
      <protection locked="0"/>
    </xf>
    <xf numFmtId="0" fontId="13" fillId="0" borderId="15" xfId="57" applyFont="1" applyBorder="1" applyProtection="1">
      <alignment horizontal="center" vertical="center" wrapText="1"/>
      <protection locked="0"/>
    </xf>
    <xf numFmtId="0" fontId="13" fillId="0" borderId="22" xfId="57" applyFont="1" applyBorder="1" applyAlignment="1" applyProtection="1">
      <alignment horizontal="center" vertical="center" wrapText="1"/>
      <protection locked="0"/>
    </xf>
    <xf numFmtId="0" fontId="13" fillId="0" borderId="35" xfId="57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15" fillId="0" borderId="0" xfId="52" applyFont="1" applyAlignment="1" applyProtection="1">
      <alignment horizontal="right" vertical="center" wrapText="1"/>
      <protection locked="0"/>
    </xf>
    <xf numFmtId="0" fontId="13" fillId="0" borderId="36" xfId="57" applyFont="1" applyBorder="1" applyAlignment="1" applyProtection="1">
      <alignment horizontal="center" vertical="center" wrapText="1"/>
      <protection locked="0"/>
    </xf>
    <xf numFmtId="0" fontId="13" fillId="0" borderId="26" xfId="57" applyFont="1" applyBorder="1" applyAlignment="1" applyProtection="1">
      <alignment horizontal="center" vertical="center" wrapText="1"/>
      <protection locked="0"/>
    </xf>
  </cellXfs>
  <cellStyles count="6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laroux" xfId="33"/>
    <cellStyle name="Comma_laroux" xfId="34"/>
    <cellStyle name="Currency [0]" xfId="35"/>
    <cellStyle name="Currency_laroux" xfId="36"/>
    <cellStyle name="Normal_ASUS" xfId="37"/>
    <cellStyle name="Normal1" xfId="38"/>
    <cellStyle name="Price_Body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" xfId="52"/>
    <cellStyle name="Заголовок 1" xfId="53"/>
    <cellStyle name="Заголовок 2" xfId="54"/>
    <cellStyle name="Заголовок 3" xfId="55"/>
    <cellStyle name="Заголовок 4" xfId="56"/>
    <cellStyle name="ЗаголовокСтолбца" xfId="57"/>
    <cellStyle name="Значение" xfId="58"/>
    <cellStyle name="Итог" xfId="59"/>
    <cellStyle name="Контрольная ячейка" xfId="60"/>
    <cellStyle name="Название" xfId="61"/>
    <cellStyle name="Нейтральный" xfId="62"/>
    <cellStyle name="Обычный_methodics230802-pril1-3" xfId="63"/>
    <cellStyle name="Обычный_Книга1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Стиль 1" xfId="71"/>
    <cellStyle name="Текст предупреждения" xfId="72"/>
    <cellStyle name="Тысячи [0]_3Com" xfId="73"/>
    <cellStyle name="Тысячи_3Com" xfId="74"/>
    <cellStyle name="Comma" xfId="75"/>
    <cellStyle name="Comma [0]" xfId="76"/>
    <cellStyle name="Формула" xfId="77"/>
    <cellStyle name="ФормулаВБ" xfId="78"/>
    <cellStyle name="Хороший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USERS\5%20&#1058;&#1045;&#1055;&#1051;&#1054;&#1042;&#1040;&#1071;%20&#1069;&#1053;&#1045;&#1056;&#1043;&#1048;&#1071;\&#1069;&#1082;&#1089;&#1087;&#1077;&#1088;&#1090;&#1080;&#1079;&#1072;%202007\&#1090;&#1072;&#1073;&#1083;&#1080;&#1094;&#1072;%20&#1092;&#1089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nina\c\&#1052;&#1086;&#1080;%20&#1076;&#1086;&#1082;&#1091;&#1084;&#1077;&#1085;&#1090;&#1099;\fek%202002\FEK%202002.&#105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ЦТ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  <sheetName val="таблица фст"/>
    </sheetNames>
    <sheetDataSet>
      <sheetData sheetId="0">
        <row r="14">
          <cell r="B14">
            <v>2005</v>
          </cell>
        </row>
        <row r="15">
          <cell r="B15">
            <v>2004</v>
          </cell>
        </row>
      </sheetData>
      <sheetData sheetId="10">
        <row r="15">
          <cell r="C15">
            <v>0</v>
          </cell>
        </row>
        <row r="24">
          <cell r="C2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ИТОГИ  по Н,Р,Э,Q"/>
      <sheetName val="Заголовок"/>
      <sheetName val="6"/>
      <sheetName val="эл ст"/>
      <sheetName val="Справочники"/>
      <sheetName val="Закупки"/>
      <sheetName val="Макро"/>
      <sheetName val="УЗ-22(2002)"/>
      <sheetName val="УЗ-21(1кв.) (2)"/>
      <sheetName val="УЗ-21(2002)"/>
      <sheetName val="УЗ-22(3кв.) (2)"/>
      <sheetName val="Производство электроэнергии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8"/>
      <sheetName val="9"/>
      <sheetName val="P2.1"/>
      <sheetName val="P2.2"/>
      <sheetName val="Константы"/>
      <sheetName val="инвестиции 2007"/>
      <sheetName val="Калькуляция кв"/>
      <sheetName val="Balance Sheet"/>
      <sheetName val="1997"/>
      <sheetName val="1998"/>
      <sheetName val="9-1"/>
      <sheetName val="хар-ка земли 1 "/>
      <sheetName val="Коррект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Приложение 1"/>
      <sheetName val="1.11"/>
    </sheetNames>
    <sheetDataSet>
      <sheetData sheetId="11">
        <row r="2">
          <cell r="A2">
            <v>1.049</v>
          </cell>
          <cell r="B2">
            <v>1.086</v>
          </cell>
          <cell r="C2">
            <v>1.091</v>
          </cell>
          <cell r="D2">
            <v>1.124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9"/>
  <sheetViews>
    <sheetView zoomScalePageLayoutView="0" workbookViewId="0" topLeftCell="M18">
      <selection activeCell="AA48" sqref="AA2:AV48"/>
    </sheetView>
  </sheetViews>
  <sheetFormatPr defaultColWidth="9.00390625" defaultRowHeight="12.75"/>
  <cols>
    <col min="1" max="1" width="3.375" style="0" customWidth="1"/>
    <col min="2" max="2" width="24.50390625" style="0" customWidth="1"/>
    <col min="3" max="3" width="9.875" style="0" customWidth="1"/>
    <col min="5" max="5" width="3.375" style="0" customWidth="1"/>
    <col min="6" max="6" width="7.125" style="0" customWidth="1"/>
    <col min="7" max="7" width="4.00390625" style="0" customWidth="1"/>
    <col min="8" max="8" width="7.00390625" style="0" customWidth="1"/>
    <col min="9" max="9" width="7.125" style="0" customWidth="1"/>
    <col min="10" max="10" width="3.50390625" style="0" customWidth="1"/>
    <col min="11" max="11" width="5.50390625" style="0" customWidth="1"/>
    <col min="12" max="12" width="3.875" style="0" customWidth="1"/>
    <col min="13" max="13" width="6.50390625" style="0" customWidth="1"/>
    <col min="14" max="14" width="5.125" style="0" customWidth="1"/>
    <col min="15" max="15" width="3.125" style="0" customWidth="1"/>
    <col min="16" max="16" width="5.50390625" style="0" customWidth="1"/>
    <col min="17" max="17" width="4.125" style="0" customWidth="1"/>
    <col min="18" max="18" width="5.50390625" style="0" customWidth="1"/>
    <col min="19" max="19" width="5.125" style="0" customWidth="1"/>
    <col min="20" max="20" width="3.125" style="0" customWidth="1"/>
    <col min="21" max="21" width="4.875" style="0" customWidth="1"/>
    <col min="22" max="22" width="4.125" style="0" customWidth="1"/>
    <col min="23" max="26" width="5.50390625" style="169" customWidth="1"/>
    <col min="27" max="27" width="3.50390625" style="0" customWidth="1"/>
    <col min="28" max="28" width="20.50390625" style="0" customWidth="1"/>
    <col min="31" max="31" width="3.50390625" style="0" customWidth="1"/>
    <col min="32" max="32" width="6.875" style="0" customWidth="1"/>
    <col min="33" max="33" width="3.375" style="0" customWidth="1"/>
    <col min="34" max="34" width="7.875" style="0" customWidth="1"/>
    <col min="35" max="35" width="7.50390625" style="0" customWidth="1"/>
    <col min="36" max="36" width="3.50390625" style="0" customWidth="1"/>
    <col min="37" max="37" width="6.50390625" style="0" customWidth="1"/>
    <col min="38" max="38" width="4.375" style="0" customWidth="1"/>
    <col min="39" max="39" width="6.125" style="0" customWidth="1"/>
    <col min="40" max="40" width="6.50390625" style="0" customWidth="1"/>
    <col min="41" max="41" width="3.125" style="0" customWidth="1"/>
    <col min="42" max="42" width="6.00390625" style="0" customWidth="1"/>
    <col min="43" max="43" width="2.625" style="0" customWidth="1"/>
    <col min="44" max="44" width="6.375" style="0" customWidth="1"/>
    <col min="45" max="45" width="6.00390625" style="0" customWidth="1"/>
    <col min="46" max="46" width="3.00390625" style="0" customWidth="1"/>
    <col min="47" max="47" width="5.50390625" style="0" customWidth="1"/>
    <col min="48" max="48" width="3.375" style="0" customWidth="1"/>
  </cols>
  <sheetData>
    <row r="1" spans="1:26" ht="12.75">
      <c r="A1" s="132"/>
      <c r="B1" s="133"/>
      <c r="C1" s="134">
        <f>C9+C10</f>
        <v>85716.736</v>
      </c>
      <c r="D1" s="134">
        <f>D9+D10</f>
        <v>83498.81</v>
      </c>
      <c r="E1" s="134"/>
      <c r="F1" s="134">
        <f>F9+F10</f>
        <v>2217.926</v>
      </c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5"/>
      <c r="V1" s="132"/>
      <c r="W1" s="175"/>
      <c r="X1" s="175"/>
      <c r="Y1" s="175"/>
      <c r="Z1" s="175"/>
    </row>
    <row r="2" spans="1:48" ht="16.5">
      <c r="A2" s="185" t="s">
        <v>104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76"/>
      <c r="X2" s="176"/>
      <c r="Y2" s="176"/>
      <c r="Z2" s="176"/>
      <c r="AA2" s="185" t="s">
        <v>129</v>
      </c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5"/>
      <c r="AN2" s="185"/>
      <c r="AO2" s="185"/>
      <c r="AP2" s="185"/>
      <c r="AQ2" s="185"/>
      <c r="AR2" s="185"/>
      <c r="AS2" s="185"/>
      <c r="AT2" s="185"/>
      <c r="AU2" s="185"/>
      <c r="AV2" s="185"/>
    </row>
    <row r="3" spans="1:48" ht="16.5">
      <c r="A3" s="136"/>
      <c r="B3" s="137">
        <v>200585.49</v>
      </c>
      <c r="C3" s="137">
        <v>198172.94</v>
      </c>
      <c r="D3" s="138">
        <v>2412.55</v>
      </c>
      <c r="E3" s="136"/>
      <c r="F3" s="139"/>
      <c r="G3" s="136"/>
      <c r="H3" s="139" t="s">
        <v>105</v>
      </c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76"/>
      <c r="X3" s="176"/>
      <c r="Y3" s="176"/>
      <c r="Z3" s="176"/>
      <c r="AA3" s="136"/>
      <c r="AB3" s="136"/>
      <c r="AC3" s="136"/>
      <c r="AD3" s="136"/>
      <c r="AE3" s="136"/>
      <c r="AF3" s="139"/>
      <c r="AG3" s="136"/>
      <c r="AH3" s="139" t="s">
        <v>130</v>
      </c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</row>
    <row r="4" spans="1:48" ht="12.75">
      <c r="A4" s="186" t="s">
        <v>45</v>
      </c>
      <c r="B4" s="188" t="s">
        <v>106</v>
      </c>
      <c r="C4" s="190" t="s">
        <v>107</v>
      </c>
      <c r="D4" s="191"/>
      <c r="E4" s="191"/>
      <c r="F4" s="191"/>
      <c r="G4" s="192"/>
      <c r="H4" s="190" t="s">
        <v>108</v>
      </c>
      <c r="I4" s="191"/>
      <c r="J4" s="191"/>
      <c r="K4" s="191"/>
      <c r="L4" s="192"/>
      <c r="M4" s="193" t="s">
        <v>109</v>
      </c>
      <c r="N4" s="191"/>
      <c r="O4" s="191"/>
      <c r="P4" s="191"/>
      <c r="Q4" s="192"/>
      <c r="R4" s="194" t="s">
        <v>110</v>
      </c>
      <c r="S4" s="195"/>
      <c r="T4" s="195"/>
      <c r="U4" s="195"/>
      <c r="V4" s="196"/>
      <c r="W4" s="177"/>
      <c r="X4" s="177"/>
      <c r="Y4" s="177"/>
      <c r="Z4" s="177"/>
      <c r="AA4" s="203" t="s">
        <v>45</v>
      </c>
      <c r="AB4" s="188" t="s">
        <v>106</v>
      </c>
      <c r="AC4" s="190" t="s">
        <v>107</v>
      </c>
      <c r="AD4" s="191"/>
      <c r="AE4" s="191"/>
      <c r="AF4" s="191"/>
      <c r="AG4" s="192"/>
      <c r="AH4" s="190" t="s">
        <v>108</v>
      </c>
      <c r="AI4" s="191"/>
      <c r="AJ4" s="191"/>
      <c r="AK4" s="191"/>
      <c r="AL4" s="192"/>
      <c r="AM4" s="193" t="s">
        <v>109</v>
      </c>
      <c r="AN4" s="191"/>
      <c r="AO4" s="191"/>
      <c r="AP4" s="191"/>
      <c r="AQ4" s="192"/>
      <c r="AR4" s="194" t="s">
        <v>110</v>
      </c>
      <c r="AS4" s="195"/>
      <c r="AT4" s="195"/>
      <c r="AU4" s="195"/>
      <c r="AV4" s="196"/>
    </row>
    <row r="5" spans="1:48" ht="28.5" customHeight="1">
      <c r="A5" s="187"/>
      <c r="B5" s="189"/>
      <c r="C5" s="140" t="s">
        <v>111</v>
      </c>
      <c r="D5" s="140" t="s">
        <v>47</v>
      </c>
      <c r="E5" s="141" t="s">
        <v>48</v>
      </c>
      <c r="F5" s="140" t="s">
        <v>49</v>
      </c>
      <c r="G5" s="142" t="s">
        <v>50</v>
      </c>
      <c r="H5" s="140" t="s">
        <v>111</v>
      </c>
      <c r="I5" s="140" t="s">
        <v>47</v>
      </c>
      <c r="J5" s="141" t="s">
        <v>48</v>
      </c>
      <c r="K5" s="140" t="s">
        <v>49</v>
      </c>
      <c r="L5" s="142" t="s">
        <v>50</v>
      </c>
      <c r="M5" s="141" t="s">
        <v>40</v>
      </c>
      <c r="N5" s="141" t="s">
        <v>47</v>
      </c>
      <c r="O5" s="141" t="s">
        <v>48</v>
      </c>
      <c r="P5" s="141" t="s">
        <v>49</v>
      </c>
      <c r="Q5" s="141" t="s">
        <v>50</v>
      </c>
      <c r="R5" s="140" t="s">
        <v>111</v>
      </c>
      <c r="S5" s="140" t="s">
        <v>47</v>
      </c>
      <c r="T5" s="141" t="s">
        <v>48</v>
      </c>
      <c r="U5" s="140" t="s">
        <v>49</v>
      </c>
      <c r="V5" s="140" t="s">
        <v>50</v>
      </c>
      <c r="W5" s="178"/>
      <c r="X5" s="178"/>
      <c r="Y5" s="178"/>
      <c r="Z5" s="178"/>
      <c r="AA5" s="204"/>
      <c r="AB5" s="189"/>
      <c r="AC5" s="140" t="s">
        <v>111</v>
      </c>
      <c r="AD5" s="140" t="s">
        <v>47</v>
      </c>
      <c r="AE5" s="141" t="s">
        <v>48</v>
      </c>
      <c r="AF5" s="140" t="s">
        <v>49</v>
      </c>
      <c r="AG5" s="142" t="s">
        <v>50</v>
      </c>
      <c r="AH5" s="140" t="s">
        <v>111</v>
      </c>
      <c r="AI5" s="140" t="s">
        <v>47</v>
      </c>
      <c r="AJ5" s="141" t="s">
        <v>48</v>
      </c>
      <c r="AK5" s="140" t="s">
        <v>49</v>
      </c>
      <c r="AL5" s="142" t="s">
        <v>50</v>
      </c>
      <c r="AM5" s="141" t="s">
        <v>40</v>
      </c>
      <c r="AN5" s="141" t="s">
        <v>47</v>
      </c>
      <c r="AO5" s="141" t="s">
        <v>48</v>
      </c>
      <c r="AP5" s="141" t="s">
        <v>49</v>
      </c>
      <c r="AQ5" s="141" t="s">
        <v>50</v>
      </c>
      <c r="AR5" s="140" t="s">
        <v>111</v>
      </c>
      <c r="AS5" s="140" t="s">
        <v>47</v>
      </c>
      <c r="AT5" s="141" t="s">
        <v>48</v>
      </c>
      <c r="AU5" s="140" t="s">
        <v>49</v>
      </c>
      <c r="AV5" s="140" t="s">
        <v>50</v>
      </c>
    </row>
    <row r="6" spans="1:48" ht="12.75">
      <c r="A6" s="197" t="s">
        <v>112</v>
      </c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  <c r="T6" s="198"/>
      <c r="U6" s="198"/>
      <c r="V6" s="199"/>
      <c r="W6" s="179"/>
      <c r="X6" s="179"/>
      <c r="Y6" s="179"/>
      <c r="Z6" s="179"/>
      <c r="AA6" s="197" t="s">
        <v>112</v>
      </c>
      <c r="AB6" s="198"/>
      <c r="AC6" s="198"/>
      <c r="AD6" s="198"/>
      <c r="AE6" s="198"/>
      <c r="AF6" s="198"/>
      <c r="AG6" s="198"/>
      <c r="AH6" s="198"/>
      <c r="AI6" s="198"/>
      <c r="AJ6" s="198"/>
      <c r="AK6" s="198"/>
      <c r="AL6" s="198"/>
      <c r="AM6" s="198"/>
      <c r="AN6" s="198"/>
      <c r="AO6" s="198"/>
      <c r="AP6" s="198"/>
      <c r="AQ6" s="198"/>
      <c r="AR6" s="198"/>
      <c r="AS6" s="198"/>
      <c r="AT6" s="198"/>
      <c r="AU6" s="198"/>
      <c r="AV6" s="199"/>
    </row>
    <row r="7" spans="1:48" ht="15.75" customHeight="1">
      <c r="A7" s="143" t="s">
        <v>41</v>
      </c>
      <c r="B7" s="144" t="s">
        <v>113</v>
      </c>
      <c r="C7" s="145"/>
      <c r="D7" s="145"/>
      <c r="E7" s="145"/>
      <c r="F7" s="146"/>
      <c r="G7" s="147"/>
      <c r="H7" s="148"/>
      <c r="I7" s="148"/>
      <c r="J7" s="148"/>
      <c r="K7" s="148"/>
      <c r="L7" s="148"/>
      <c r="M7" s="149"/>
      <c r="N7" s="149"/>
      <c r="O7" s="149"/>
      <c r="P7" s="149"/>
      <c r="Q7" s="149"/>
      <c r="R7" s="150"/>
      <c r="S7" s="148"/>
      <c r="T7" s="148"/>
      <c r="U7" s="148"/>
      <c r="V7" s="148"/>
      <c r="W7" s="180"/>
      <c r="X7" s="180"/>
      <c r="Y7" s="180"/>
      <c r="Z7" s="180"/>
      <c r="AA7" s="174" t="s">
        <v>41</v>
      </c>
      <c r="AB7" s="144" t="s">
        <v>113</v>
      </c>
      <c r="AC7" s="154"/>
      <c r="AD7" s="170"/>
      <c r="AE7" s="170"/>
      <c r="AF7" s="170"/>
      <c r="AG7" s="147"/>
      <c r="AH7" s="148"/>
      <c r="AI7" s="148"/>
      <c r="AJ7" s="148"/>
      <c r="AK7" s="148"/>
      <c r="AL7" s="148"/>
      <c r="AM7" s="149"/>
      <c r="AN7" s="149"/>
      <c r="AO7" s="149"/>
      <c r="AP7" s="149"/>
      <c r="AQ7" s="149"/>
      <c r="AR7" s="150"/>
      <c r="AS7" s="148"/>
      <c r="AT7" s="148"/>
      <c r="AU7" s="148"/>
      <c r="AV7" s="148"/>
    </row>
    <row r="8" spans="1:48" ht="15.75" customHeight="1">
      <c r="A8" s="143" t="s">
        <v>42</v>
      </c>
      <c r="B8" s="144" t="s">
        <v>114</v>
      </c>
      <c r="C8" s="148"/>
      <c r="D8" s="151"/>
      <c r="E8" s="151"/>
      <c r="F8" s="148"/>
      <c r="G8" s="152"/>
      <c r="H8" s="148"/>
      <c r="I8" s="153"/>
      <c r="J8" s="153"/>
      <c r="K8" s="153"/>
      <c r="L8" s="154"/>
      <c r="M8" s="149"/>
      <c r="N8" s="149"/>
      <c r="O8" s="149"/>
      <c r="P8" s="149"/>
      <c r="Q8" s="149"/>
      <c r="R8" s="150"/>
      <c r="S8" s="148"/>
      <c r="T8" s="148"/>
      <c r="U8" s="148"/>
      <c r="V8" s="148"/>
      <c r="W8" s="180"/>
      <c r="X8" s="180"/>
      <c r="Y8" s="180"/>
      <c r="Z8" s="180"/>
      <c r="AA8" s="174" t="s">
        <v>42</v>
      </c>
      <c r="AB8" s="144" t="s">
        <v>114</v>
      </c>
      <c r="AC8" s="148"/>
      <c r="AD8" s="151"/>
      <c r="AE8" s="151"/>
      <c r="AF8" s="148"/>
      <c r="AG8" s="152"/>
      <c r="AH8" s="153"/>
      <c r="AI8" s="166"/>
      <c r="AJ8" s="153"/>
      <c r="AK8" s="153"/>
      <c r="AL8" s="154"/>
      <c r="AM8" s="149"/>
      <c r="AN8" s="149"/>
      <c r="AO8" s="149"/>
      <c r="AP8" s="149"/>
      <c r="AQ8" s="149"/>
      <c r="AR8" s="150"/>
      <c r="AS8" s="148"/>
      <c r="AT8" s="148"/>
      <c r="AU8" s="148"/>
      <c r="AV8" s="148"/>
    </row>
    <row r="9" spans="1:48" ht="27.75" customHeight="1">
      <c r="A9" s="143" t="s">
        <v>43</v>
      </c>
      <c r="B9" s="144" t="s">
        <v>115</v>
      </c>
      <c r="C9" s="155">
        <f>D9+E9+F9+G9</f>
        <v>59093.545</v>
      </c>
      <c r="D9" s="156">
        <f>58092.221+1001.324</f>
        <v>59093.545</v>
      </c>
      <c r="E9" s="156"/>
      <c r="F9" s="155"/>
      <c r="G9" s="157"/>
      <c r="H9" s="158">
        <f>I9+J9+K9+L9</f>
        <v>14.886999999999999</v>
      </c>
      <c r="I9" s="158">
        <f>15.187-0.3</f>
        <v>14.886999999999999</v>
      </c>
      <c r="J9" s="158"/>
      <c r="K9" s="158"/>
      <c r="L9" s="154"/>
      <c r="M9" s="149">
        <f aca="true" t="shared" si="0" ref="M9:N11">C9/H9</f>
        <v>3969.473030160543</v>
      </c>
      <c r="N9" s="149">
        <f t="shared" si="0"/>
        <v>3969.473030160543</v>
      </c>
      <c r="O9" s="149"/>
      <c r="P9" s="149"/>
      <c r="Q9" s="149"/>
      <c r="R9" s="150">
        <f>S9+T9+U9+V9</f>
        <v>29.460528570242335</v>
      </c>
      <c r="S9" s="148">
        <f>D9/C13*100</f>
        <v>29.460528570242335</v>
      </c>
      <c r="T9" s="148"/>
      <c r="U9" s="148">
        <f>F9/C13*100</f>
        <v>0</v>
      </c>
      <c r="V9" s="148"/>
      <c r="W9" s="180"/>
      <c r="X9" s="180"/>
      <c r="Y9" s="180"/>
      <c r="Z9" s="180"/>
      <c r="AA9" s="143" t="s">
        <v>43</v>
      </c>
      <c r="AB9" s="144" t="s">
        <v>115</v>
      </c>
      <c r="AC9" s="155">
        <f>AD9+AE9+AF9+AG9</f>
        <v>59093.545</v>
      </c>
      <c r="AD9" s="156">
        <v>59093.545</v>
      </c>
      <c r="AE9" s="156"/>
      <c r="AF9" s="155"/>
      <c r="AG9" s="157"/>
      <c r="AH9" s="153">
        <f>AI9+AJ9+AK9+AL9</f>
        <v>12.025040387722132</v>
      </c>
      <c r="AI9" s="153">
        <f>I9/1.238</f>
        <v>12.025040387722132</v>
      </c>
      <c r="AJ9" s="153"/>
      <c r="AK9" s="153">
        <f>K9/1.238</f>
        <v>0</v>
      </c>
      <c r="AL9" s="154"/>
      <c r="AM9" s="149">
        <f aca="true" t="shared" si="1" ref="AM9:AN11">AC9/AH9</f>
        <v>4914.207611338752</v>
      </c>
      <c r="AN9" s="149">
        <f t="shared" si="1"/>
        <v>4914.207611338752</v>
      </c>
      <c r="AO9" s="149"/>
      <c r="AP9" s="149"/>
      <c r="AQ9" s="149"/>
      <c r="AR9" s="150">
        <f>AS9+AT9+AU9+AV9</f>
        <v>29.460528570242335</v>
      </c>
      <c r="AS9" s="148">
        <f>AD9/AC13*100</f>
        <v>29.460528570242335</v>
      </c>
      <c r="AT9" s="148"/>
      <c r="AU9" s="148">
        <f>AF9/AC13*100</f>
        <v>0</v>
      </c>
      <c r="AV9" s="148"/>
    </row>
    <row r="10" spans="1:48" ht="15.75" customHeight="1">
      <c r="A10" s="143" t="s">
        <v>44</v>
      </c>
      <c r="B10" s="144" t="s">
        <v>116</v>
      </c>
      <c r="C10" s="155">
        <f>D10+E10+F10+G10</f>
        <v>26623.191</v>
      </c>
      <c r="D10" s="155">
        <f>26623.191-F10</f>
        <v>24405.265</v>
      </c>
      <c r="E10" s="155"/>
      <c r="F10" s="159">
        <f>2203.653+14.273</f>
        <v>2217.926</v>
      </c>
      <c r="G10" s="148"/>
      <c r="H10" s="158">
        <f>I10+J10+K10+L10</f>
        <v>6.061999999999999</v>
      </c>
      <c r="I10" s="158">
        <f>4.96+0.298+0.08205+0.072</f>
        <v>5.41205</v>
      </c>
      <c r="J10" s="158"/>
      <c r="K10" s="158">
        <f>0.3+0.34995</f>
        <v>0.64995</v>
      </c>
      <c r="L10" s="154"/>
      <c r="M10" s="149">
        <f t="shared" si="0"/>
        <v>4391.8163972286375</v>
      </c>
      <c r="N10" s="149">
        <f t="shared" si="0"/>
        <v>4509.430807180273</v>
      </c>
      <c r="O10" s="149"/>
      <c r="P10" s="149">
        <f>F10/K10</f>
        <v>3412.4563427955995</v>
      </c>
      <c r="Q10" s="149"/>
      <c r="R10" s="150">
        <f>S10+T10+U10+V10</f>
        <v>13.272740348992745</v>
      </c>
      <c r="S10" s="148">
        <f>D10/C13*100</f>
        <v>12.167014295670283</v>
      </c>
      <c r="T10" s="148"/>
      <c r="U10" s="148">
        <f>F10/C13*100</f>
        <v>1.1057260533224618</v>
      </c>
      <c r="V10" s="148"/>
      <c r="W10" s="180"/>
      <c r="X10" s="180"/>
      <c r="Y10" s="180"/>
      <c r="Z10" s="180"/>
      <c r="AA10" s="143" t="s">
        <v>44</v>
      </c>
      <c r="AB10" s="144" t="s">
        <v>116</v>
      </c>
      <c r="AC10" s="155">
        <f>AD10+AE10+AF10+AG10</f>
        <v>26623.191</v>
      </c>
      <c r="AD10" s="155">
        <f>26623.191-AF10</f>
        <v>24405.265</v>
      </c>
      <c r="AE10" s="155"/>
      <c r="AF10" s="159">
        <f>2203.653+14.273</f>
        <v>2217.926</v>
      </c>
      <c r="AG10" s="148"/>
      <c r="AH10" s="153">
        <f>AI10+AJ10+AK10+AL10</f>
        <v>4.896607431340873</v>
      </c>
      <c r="AI10" s="153">
        <f>I10/1.238</f>
        <v>4.371607431340872</v>
      </c>
      <c r="AJ10" s="153"/>
      <c r="AK10" s="153">
        <f>K10/1.238</f>
        <v>0.525</v>
      </c>
      <c r="AL10" s="154"/>
      <c r="AM10" s="149">
        <f t="shared" si="1"/>
        <v>5437.068699769053</v>
      </c>
      <c r="AN10" s="149">
        <f t="shared" si="1"/>
        <v>5582.675339289179</v>
      </c>
      <c r="AO10" s="149"/>
      <c r="AP10" s="149">
        <f>AF10/AK10</f>
        <v>4224.620952380952</v>
      </c>
      <c r="AQ10" s="149"/>
      <c r="AR10" s="150">
        <f>AS10+AT10+AU10+AV10</f>
        <v>13.272740348992745</v>
      </c>
      <c r="AS10" s="148">
        <f>AD10/AC13*100</f>
        <v>12.167014295670283</v>
      </c>
      <c r="AT10" s="148"/>
      <c r="AU10" s="148">
        <f>AF10/AC13*100</f>
        <v>1.1057260533224618</v>
      </c>
      <c r="AV10" s="148"/>
    </row>
    <row r="11" spans="1:48" ht="15.75" customHeight="1">
      <c r="A11" s="143" t="s">
        <v>117</v>
      </c>
      <c r="B11" s="160" t="s">
        <v>118</v>
      </c>
      <c r="C11" s="155">
        <f>D11+E11+F11+G11</f>
        <v>114868.752</v>
      </c>
      <c r="D11" s="155">
        <f>114868.752-F11</f>
        <v>114674.12899999999</v>
      </c>
      <c r="E11" s="156"/>
      <c r="F11" s="155">
        <v>194.623</v>
      </c>
      <c r="G11" s="152"/>
      <c r="H11" s="158">
        <f>I11+J11+K11+L11</f>
        <v>20.986</v>
      </c>
      <c r="I11" s="158">
        <f>20.986-K11</f>
        <v>20.95</v>
      </c>
      <c r="J11" s="158"/>
      <c r="K11" s="158">
        <v>0.036</v>
      </c>
      <c r="L11" s="154"/>
      <c r="M11" s="149">
        <f t="shared" si="0"/>
        <v>5473.589631182693</v>
      </c>
      <c r="N11" s="149">
        <f t="shared" si="0"/>
        <v>5473.705441527446</v>
      </c>
      <c r="O11" s="149"/>
      <c r="P11" s="149">
        <f>F11/K11</f>
        <v>5406.194444444444</v>
      </c>
      <c r="Q11" s="149"/>
      <c r="R11" s="150">
        <f>S11+T11+U11+V11</f>
        <v>57.26673108076493</v>
      </c>
      <c r="S11" s="148">
        <f>D11/C13*100</f>
        <v>57.1697036228264</v>
      </c>
      <c r="T11" s="148"/>
      <c r="U11" s="148">
        <f>F11/C13*100</f>
        <v>0.09702745793853243</v>
      </c>
      <c r="V11" s="148"/>
      <c r="W11" s="180"/>
      <c r="X11" s="180"/>
      <c r="Y11" s="180"/>
      <c r="Z11" s="180"/>
      <c r="AA11" s="143" t="s">
        <v>117</v>
      </c>
      <c r="AB11" s="160" t="s">
        <v>118</v>
      </c>
      <c r="AC11" s="148">
        <f>AD11+AE11+AF11+AG11</f>
        <v>114868.752</v>
      </c>
      <c r="AD11" s="155">
        <f>114868.752-AF11</f>
        <v>114674.12899999999</v>
      </c>
      <c r="AE11" s="156"/>
      <c r="AF11" s="155">
        <v>194.623</v>
      </c>
      <c r="AG11" s="152"/>
      <c r="AH11" s="153">
        <f>AI11+AJ11+AK11+AL11</f>
        <v>16.951534733441033</v>
      </c>
      <c r="AI11" s="153">
        <f>I11/1.238</f>
        <v>16.922455573505655</v>
      </c>
      <c r="AJ11" s="153"/>
      <c r="AK11" s="153">
        <f>K11/1.238</f>
        <v>0.029079159935379642</v>
      </c>
      <c r="AL11" s="154"/>
      <c r="AM11" s="149">
        <f t="shared" si="1"/>
        <v>6776.303963404174</v>
      </c>
      <c r="AN11" s="149">
        <f t="shared" si="1"/>
        <v>6776.447336610978</v>
      </c>
      <c r="AO11" s="149"/>
      <c r="AP11" s="149">
        <f>AF11/AK11</f>
        <v>6692.8687222222225</v>
      </c>
      <c r="AQ11" s="149"/>
      <c r="AR11" s="150">
        <f>AS11+AT11+AU11+AV11</f>
        <v>57.26673108076493</v>
      </c>
      <c r="AS11" s="148">
        <f>AD11/AC13*100</f>
        <v>57.1697036228264</v>
      </c>
      <c r="AT11" s="148"/>
      <c r="AU11" s="148">
        <f>AF11/AC13*100</f>
        <v>0.09702745793853243</v>
      </c>
      <c r="AV11" s="148"/>
    </row>
    <row r="12" spans="1:48" ht="11.25" customHeight="1">
      <c r="A12" s="143"/>
      <c r="B12" s="160"/>
      <c r="C12" s="148"/>
      <c r="D12" s="148"/>
      <c r="E12" s="151"/>
      <c r="F12" s="148"/>
      <c r="G12" s="161"/>
      <c r="H12" s="158"/>
      <c r="I12" s="158"/>
      <c r="J12" s="158"/>
      <c r="K12" s="158"/>
      <c r="L12" s="154"/>
      <c r="M12" s="149"/>
      <c r="N12" s="149"/>
      <c r="O12" s="149"/>
      <c r="P12" s="149"/>
      <c r="Q12" s="149"/>
      <c r="R12" s="150"/>
      <c r="S12" s="150"/>
      <c r="T12" s="150"/>
      <c r="U12" s="150"/>
      <c r="V12" s="150"/>
      <c r="W12" s="180"/>
      <c r="X12" s="180"/>
      <c r="Y12" s="180"/>
      <c r="Z12" s="180"/>
      <c r="AA12" s="143"/>
      <c r="AB12" s="160"/>
      <c r="AC12" s="148"/>
      <c r="AD12" s="148"/>
      <c r="AE12" s="151"/>
      <c r="AF12" s="148"/>
      <c r="AG12" s="161"/>
      <c r="AH12" s="153"/>
      <c r="AI12" s="153"/>
      <c r="AJ12" s="153"/>
      <c r="AK12" s="153"/>
      <c r="AL12" s="154"/>
      <c r="AM12" s="149"/>
      <c r="AN12" s="149"/>
      <c r="AO12" s="149"/>
      <c r="AP12" s="149"/>
      <c r="AQ12" s="149"/>
      <c r="AR12" s="150"/>
      <c r="AS12" s="150"/>
      <c r="AT12" s="150"/>
      <c r="AU12" s="150"/>
      <c r="AV12" s="150"/>
    </row>
    <row r="13" spans="1:48" ht="15.75" customHeight="1">
      <c r="A13" s="143"/>
      <c r="B13" s="162" t="s">
        <v>119</v>
      </c>
      <c r="C13" s="154">
        <f>D13+E13+F13+G13</f>
        <v>200585.48799999998</v>
      </c>
      <c r="D13" s="148">
        <f>SUM(D7:D11)</f>
        <v>198172.93899999998</v>
      </c>
      <c r="E13" s="148"/>
      <c r="F13" s="148">
        <f>SUM(F7:F11)</f>
        <v>2412.549</v>
      </c>
      <c r="G13" s="157">
        <f>SUM(G7:G11)</f>
        <v>0</v>
      </c>
      <c r="H13" s="153">
        <f>SUM(H7:H11)</f>
        <v>41.935</v>
      </c>
      <c r="I13" s="153">
        <f>SUM(I7:I11)</f>
        <v>41.24905</v>
      </c>
      <c r="J13" s="153"/>
      <c r="K13" s="153">
        <f>SUM(K7:K11)</f>
        <v>0.6859500000000001</v>
      </c>
      <c r="L13" s="149">
        <f>SUM(L7:L11)</f>
        <v>0</v>
      </c>
      <c r="M13" s="149">
        <f>C13/H13</f>
        <v>4783.247597472277</v>
      </c>
      <c r="N13" s="149">
        <f>D13/I13</f>
        <v>4804.303105162422</v>
      </c>
      <c r="O13" s="149"/>
      <c r="P13" s="149">
        <f>F13/K13</f>
        <v>3517.0916247539903</v>
      </c>
      <c r="Q13" s="149"/>
      <c r="R13" s="150">
        <f>SUM(R7:R11)</f>
        <v>100</v>
      </c>
      <c r="S13" s="150">
        <f>SUM(S7:S11)</f>
        <v>98.797246488739</v>
      </c>
      <c r="T13" s="150"/>
      <c r="U13" s="150">
        <f>SUM(U7:U11)</f>
        <v>1.2027535112609942</v>
      </c>
      <c r="V13" s="163">
        <f>SUM(V7:V11)</f>
        <v>0</v>
      </c>
      <c r="W13" s="181"/>
      <c r="X13" s="181"/>
      <c r="Y13" s="181"/>
      <c r="Z13" s="181"/>
      <c r="AA13" s="143"/>
      <c r="AB13" s="162" t="s">
        <v>119</v>
      </c>
      <c r="AC13" s="148">
        <f>AD13+AE13+AF13+AG13</f>
        <v>200585.48799999998</v>
      </c>
      <c r="AD13" s="148">
        <f>SUM(AD7:AD11)</f>
        <v>198172.93899999998</v>
      </c>
      <c r="AE13" s="148"/>
      <c r="AF13" s="148">
        <f>SUM(AF7:AF11)</f>
        <v>2412.549</v>
      </c>
      <c r="AG13" s="157">
        <f>SUM(AG7:AG11)</f>
        <v>0</v>
      </c>
      <c r="AH13" s="153">
        <f>SUM(AH7:AH11)</f>
        <v>33.87318255250403</v>
      </c>
      <c r="AI13" s="153">
        <f>SUM(AI7:AI11)</f>
        <v>33.319103392568664</v>
      </c>
      <c r="AJ13" s="153"/>
      <c r="AK13" s="153">
        <f>SUM(AK7:AK11)</f>
        <v>0.5540791599353797</v>
      </c>
      <c r="AL13" s="157">
        <f>SUM(AL7:AL11)</f>
        <v>0</v>
      </c>
      <c r="AM13" s="149">
        <f>AC13/AH13</f>
        <v>5921.660525670682</v>
      </c>
      <c r="AN13" s="149">
        <f>AD13/AI13</f>
        <v>5947.727244191077</v>
      </c>
      <c r="AO13" s="149"/>
      <c r="AP13" s="149">
        <f>AF13/AK13</f>
        <v>4354.1594314454405</v>
      </c>
      <c r="AQ13" s="149"/>
      <c r="AR13" s="150">
        <f>SUM(AR7:AR11)</f>
        <v>100</v>
      </c>
      <c r="AS13" s="150">
        <f>SUM(AS7:AS11)</f>
        <v>98.797246488739</v>
      </c>
      <c r="AT13" s="150"/>
      <c r="AU13" s="150">
        <f>SUM(AU7:AU11)</f>
        <v>1.2027535112609942</v>
      </c>
      <c r="AV13" s="163">
        <f>SUM(AV7:AV11)</f>
        <v>0</v>
      </c>
    </row>
    <row r="14" spans="1:48" ht="15.75" customHeight="1">
      <c r="A14" s="200" t="s">
        <v>120</v>
      </c>
      <c r="B14" s="201"/>
      <c r="C14" s="201"/>
      <c r="D14" s="201"/>
      <c r="E14" s="201"/>
      <c r="F14" s="201"/>
      <c r="G14" s="201"/>
      <c r="H14" s="201"/>
      <c r="I14" s="201"/>
      <c r="J14" s="201"/>
      <c r="K14" s="201"/>
      <c r="L14" s="201"/>
      <c r="M14" s="201"/>
      <c r="N14" s="201"/>
      <c r="O14" s="201"/>
      <c r="P14" s="201"/>
      <c r="Q14" s="201"/>
      <c r="R14" s="201"/>
      <c r="S14" s="201"/>
      <c r="T14" s="201"/>
      <c r="U14" s="201"/>
      <c r="V14" s="202"/>
      <c r="W14" s="182"/>
      <c r="X14" s="182"/>
      <c r="Y14" s="182"/>
      <c r="Z14" s="182"/>
      <c r="AA14" s="200" t="s">
        <v>120</v>
      </c>
      <c r="AB14" s="201"/>
      <c r="AC14" s="201"/>
      <c r="AD14" s="201"/>
      <c r="AE14" s="201"/>
      <c r="AF14" s="201"/>
      <c r="AG14" s="201"/>
      <c r="AH14" s="201"/>
      <c r="AI14" s="201"/>
      <c r="AJ14" s="201"/>
      <c r="AK14" s="201"/>
      <c r="AL14" s="201"/>
      <c r="AM14" s="201"/>
      <c r="AN14" s="201"/>
      <c r="AO14" s="201"/>
      <c r="AP14" s="201"/>
      <c r="AQ14" s="201"/>
      <c r="AR14" s="201"/>
      <c r="AS14" s="201"/>
      <c r="AT14" s="201"/>
      <c r="AU14" s="201"/>
      <c r="AV14" s="202"/>
    </row>
    <row r="15" spans="1:48" ht="15.75" customHeight="1">
      <c r="A15" s="143" t="s">
        <v>41</v>
      </c>
      <c r="B15" s="144" t="s">
        <v>113</v>
      </c>
      <c r="C15" s="148"/>
      <c r="D15" s="148"/>
      <c r="E15" s="148"/>
      <c r="F15" s="148"/>
      <c r="G15" s="152"/>
      <c r="H15" s="154"/>
      <c r="I15" s="154"/>
      <c r="J15" s="154"/>
      <c r="K15" s="154"/>
      <c r="L15" s="154"/>
      <c r="M15" s="149"/>
      <c r="N15" s="149"/>
      <c r="O15" s="149"/>
      <c r="P15" s="149"/>
      <c r="Q15" s="149"/>
      <c r="R15" s="150"/>
      <c r="S15" s="148"/>
      <c r="T15" s="148"/>
      <c r="U15" s="148"/>
      <c r="V15" s="148"/>
      <c r="W15" s="180"/>
      <c r="X15" s="180"/>
      <c r="Y15" s="180"/>
      <c r="Z15" s="180"/>
      <c r="AA15" s="143" t="s">
        <v>41</v>
      </c>
      <c r="AB15" s="144" t="s">
        <v>113</v>
      </c>
      <c r="AC15" s="148"/>
      <c r="AD15" s="148"/>
      <c r="AE15" s="148"/>
      <c r="AF15" s="148"/>
      <c r="AG15" s="152"/>
      <c r="AH15" s="154"/>
      <c r="AI15" s="154"/>
      <c r="AJ15" s="154"/>
      <c r="AK15" s="154"/>
      <c r="AL15" s="154"/>
      <c r="AM15" s="149"/>
      <c r="AN15" s="149"/>
      <c r="AO15" s="149"/>
      <c r="AP15" s="149"/>
      <c r="AQ15" s="149"/>
      <c r="AR15" s="150"/>
      <c r="AS15" s="148"/>
      <c r="AT15" s="148"/>
      <c r="AU15" s="148"/>
      <c r="AV15" s="148"/>
    </row>
    <row r="16" spans="1:48" ht="15.75" customHeight="1">
      <c r="A16" s="143" t="s">
        <v>42</v>
      </c>
      <c r="B16" s="144" t="s">
        <v>114</v>
      </c>
      <c r="C16" s="157"/>
      <c r="D16" s="157"/>
      <c r="E16" s="148"/>
      <c r="F16" s="148"/>
      <c r="G16" s="152"/>
      <c r="H16" s="153"/>
      <c r="I16" s="153"/>
      <c r="J16" s="153"/>
      <c r="K16" s="153"/>
      <c r="L16" s="154"/>
      <c r="M16" s="149"/>
      <c r="N16" s="149"/>
      <c r="O16" s="149"/>
      <c r="P16" s="149"/>
      <c r="Q16" s="149"/>
      <c r="R16" s="150"/>
      <c r="S16" s="148"/>
      <c r="T16" s="148"/>
      <c r="U16" s="148"/>
      <c r="V16" s="148"/>
      <c r="W16" s="180"/>
      <c r="X16" s="180"/>
      <c r="Y16" s="180"/>
      <c r="Z16" s="180"/>
      <c r="AA16" s="143" t="s">
        <v>42</v>
      </c>
      <c r="AB16" s="144" t="s">
        <v>114</v>
      </c>
      <c r="AC16" s="157"/>
      <c r="AD16" s="157"/>
      <c r="AE16" s="148"/>
      <c r="AF16" s="148"/>
      <c r="AG16" s="152"/>
      <c r="AH16" s="153"/>
      <c r="AI16" s="166"/>
      <c r="AJ16" s="153"/>
      <c r="AK16" s="153"/>
      <c r="AL16" s="154"/>
      <c r="AM16" s="149"/>
      <c r="AN16" s="149"/>
      <c r="AO16" s="149"/>
      <c r="AP16" s="149"/>
      <c r="AQ16" s="149"/>
      <c r="AR16" s="150"/>
      <c r="AS16" s="148"/>
      <c r="AT16" s="148"/>
      <c r="AU16" s="148"/>
      <c r="AV16" s="148"/>
    </row>
    <row r="17" spans="1:48" ht="15.75" customHeight="1">
      <c r="A17" s="143" t="s">
        <v>43</v>
      </c>
      <c r="B17" s="144" t="s">
        <v>121</v>
      </c>
      <c r="C17" s="157">
        <f>D17+E17+F17+G17</f>
        <v>58650</v>
      </c>
      <c r="D17" s="149">
        <v>58650</v>
      </c>
      <c r="E17" s="149"/>
      <c r="F17" s="149"/>
      <c r="G17" s="157"/>
      <c r="H17" s="158">
        <f>I17+J17+K17+L17</f>
        <v>14.886999999999999</v>
      </c>
      <c r="I17" s="158">
        <f>15.187-K17-0.3</f>
        <v>14.886999999999999</v>
      </c>
      <c r="J17" s="158"/>
      <c r="K17" s="158"/>
      <c r="L17" s="154"/>
      <c r="M17" s="149">
        <f aca="true" t="shared" si="2" ref="M17:N19">C17/H17</f>
        <v>3939.678914489152</v>
      </c>
      <c r="N17" s="149">
        <f t="shared" si="2"/>
        <v>3939.678914489152</v>
      </c>
      <c r="O17" s="149"/>
      <c r="P17" s="149"/>
      <c r="Q17" s="149"/>
      <c r="R17" s="150">
        <f>S17+T17+U17+V17</f>
        <v>28.014750136133053</v>
      </c>
      <c r="S17" s="148">
        <f>D17/C21*100</f>
        <v>28.014750136133053</v>
      </c>
      <c r="T17" s="148"/>
      <c r="U17" s="148">
        <f>F17/C21*100</f>
        <v>0</v>
      </c>
      <c r="V17" s="149">
        <f>G17/C21*100</f>
        <v>0</v>
      </c>
      <c r="W17" s="181"/>
      <c r="X17" s="181"/>
      <c r="Y17" s="181"/>
      <c r="Z17" s="181"/>
      <c r="AA17" s="143" t="s">
        <v>43</v>
      </c>
      <c r="AB17" s="144" t="s">
        <v>121</v>
      </c>
      <c r="AC17" s="157">
        <f>AD17+AE17+AF17+AG17</f>
        <v>58650</v>
      </c>
      <c r="AD17" s="149">
        <v>58650</v>
      </c>
      <c r="AE17" s="149"/>
      <c r="AF17" s="149"/>
      <c r="AG17" s="157"/>
      <c r="AH17" s="153">
        <f>AI17+AJ17+AK17+AL17</f>
        <v>12.025040387722132</v>
      </c>
      <c r="AI17" s="153">
        <f>I17/1.238</f>
        <v>12.025040387722132</v>
      </c>
      <c r="AJ17" s="153"/>
      <c r="AK17" s="153">
        <f>K17/1.238</f>
        <v>0</v>
      </c>
      <c r="AL17" s="154"/>
      <c r="AM17" s="149">
        <f aca="true" t="shared" si="3" ref="AM17:AN19">AC17/AH17</f>
        <v>4877.32249613757</v>
      </c>
      <c r="AN17" s="149">
        <f t="shared" si="3"/>
        <v>4877.32249613757</v>
      </c>
      <c r="AO17" s="149"/>
      <c r="AP17" s="149"/>
      <c r="AQ17" s="149"/>
      <c r="AR17" s="150">
        <f>AS17+AT17+AU17+AV17</f>
        <v>28.014750136133053</v>
      </c>
      <c r="AS17" s="148">
        <f>AD17/AC21*100</f>
        <v>28.014750136133053</v>
      </c>
      <c r="AT17" s="148"/>
      <c r="AU17" s="148">
        <f>AF17/AC21*100</f>
        <v>0</v>
      </c>
      <c r="AV17" s="149">
        <f>AG17/AC21*100</f>
        <v>0</v>
      </c>
    </row>
    <row r="18" spans="1:48" ht="15.75" customHeight="1">
      <c r="A18" s="143" t="s">
        <v>44</v>
      </c>
      <c r="B18" s="144" t="s">
        <v>116</v>
      </c>
      <c r="C18" s="157">
        <f>D18+E18+F18+G18</f>
        <v>35204</v>
      </c>
      <c r="D18" s="157">
        <v>34154</v>
      </c>
      <c r="E18" s="148"/>
      <c r="F18" s="149">
        <v>1050</v>
      </c>
      <c r="G18" s="157"/>
      <c r="H18" s="158">
        <f>I18+J18+K18+L18</f>
        <v>6.061999999999999</v>
      </c>
      <c r="I18" s="158">
        <f>4.96+0.298+0.08205+0.072</f>
        <v>5.41205</v>
      </c>
      <c r="J18" s="158"/>
      <c r="K18" s="158">
        <f>0.3+0.34995</f>
        <v>0.64995</v>
      </c>
      <c r="L18" s="154"/>
      <c r="M18" s="149">
        <f t="shared" si="2"/>
        <v>5807.324315407457</v>
      </c>
      <c r="N18" s="149">
        <f t="shared" si="2"/>
        <v>6310.732532034996</v>
      </c>
      <c r="O18" s="149"/>
      <c r="P18" s="149">
        <f>F18/K18</f>
        <v>1615.508885298869</v>
      </c>
      <c r="Q18" s="149"/>
      <c r="R18" s="150">
        <f>S18+T18+U18+V18</f>
        <v>16.815537319563994</v>
      </c>
      <c r="S18" s="148">
        <f>D18/C21*100</f>
        <v>16.313994478252148</v>
      </c>
      <c r="T18" s="148"/>
      <c r="U18" s="148">
        <f>F18/C21*100</f>
        <v>0.501542841311845</v>
      </c>
      <c r="V18" s="148"/>
      <c r="W18" s="180"/>
      <c r="X18" s="180"/>
      <c r="Y18" s="180"/>
      <c r="Z18" s="180"/>
      <c r="AA18" s="143" t="s">
        <v>44</v>
      </c>
      <c r="AB18" s="144" t="s">
        <v>116</v>
      </c>
      <c r="AC18" s="157">
        <f>AD18+AE18+AF18+AG18</f>
        <v>35204</v>
      </c>
      <c r="AD18" s="157">
        <v>34154</v>
      </c>
      <c r="AE18" s="148"/>
      <c r="AF18" s="149">
        <v>1050</v>
      </c>
      <c r="AG18" s="157"/>
      <c r="AH18" s="153">
        <f>AI18+AJ18+AK18+AL18</f>
        <v>4.896607431340873</v>
      </c>
      <c r="AI18" s="153">
        <f>I18/1.238</f>
        <v>4.371607431340872</v>
      </c>
      <c r="AJ18" s="153"/>
      <c r="AK18" s="153">
        <f>K18/1.238</f>
        <v>0.525</v>
      </c>
      <c r="AL18" s="154"/>
      <c r="AM18" s="149">
        <f t="shared" si="3"/>
        <v>7189.46750247443</v>
      </c>
      <c r="AN18" s="149">
        <f t="shared" si="3"/>
        <v>7812.686874659325</v>
      </c>
      <c r="AO18" s="149"/>
      <c r="AP18" s="149">
        <f>AF18/AK18</f>
        <v>2000</v>
      </c>
      <c r="AQ18" s="149"/>
      <c r="AR18" s="150">
        <f>AS18+AT18+AU18+AV18</f>
        <v>16.815537319563994</v>
      </c>
      <c r="AS18" s="148">
        <f>AD18/AC21*100</f>
        <v>16.313994478252148</v>
      </c>
      <c r="AT18" s="148"/>
      <c r="AU18" s="148">
        <f>AF18/AC21*100</f>
        <v>0.501542841311845</v>
      </c>
      <c r="AV18" s="148"/>
    </row>
    <row r="19" spans="1:48" ht="15.75" customHeight="1">
      <c r="A19" s="143" t="s">
        <v>117</v>
      </c>
      <c r="B19" s="160" t="s">
        <v>118</v>
      </c>
      <c r="C19" s="157">
        <f>D19+E19+F19+G19</f>
        <v>115500</v>
      </c>
      <c r="D19" s="157">
        <v>115300</v>
      </c>
      <c r="E19" s="157"/>
      <c r="F19" s="157">
        <v>200</v>
      </c>
      <c r="G19" s="164"/>
      <c r="H19" s="158">
        <f>I19+J19+K19+L19</f>
        <v>20.986</v>
      </c>
      <c r="I19" s="158">
        <f>20.986-K19</f>
        <v>20.95</v>
      </c>
      <c r="J19" s="158"/>
      <c r="K19" s="158">
        <v>0.036</v>
      </c>
      <c r="L19" s="154"/>
      <c r="M19" s="149">
        <f t="shared" si="2"/>
        <v>5503.669112741828</v>
      </c>
      <c r="N19" s="149">
        <f t="shared" si="2"/>
        <v>5503.579952267303</v>
      </c>
      <c r="O19" s="149"/>
      <c r="P19" s="149">
        <f>F19/K19</f>
        <v>5555.555555555556</v>
      </c>
      <c r="Q19" s="149"/>
      <c r="R19" s="150">
        <f>S19+T19+U19+V19</f>
        <v>55.16971254430295</v>
      </c>
      <c r="S19" s="148">
        <f>D19/C21*100</f>
        <v>55.074180574529265</v>
      </c>
      <c r="T19" s="148"/>
      <c r="U19" s="148">
        <f>F19/C21*100</f>
        <v>0.09553196977368476</v>
      </c>
      <c r="V19" s="148"/>
      <c r="W19" s="180"/>
      <c r="X19" s="180"/>
      <c r="Y19" s="180"/>
      <c r="Z19" s="180"/>
      <c r="AA19" s="143" t="s">
        <v>117</v>
      </c>
      <c r="AB19" s="160" t="s">
        <v>118</v>
      </c>
      <c r="AC19" s="157">
        <f>AD19+AE19+AF19+AG19</f>
        <v>115500</v>
      </c>
      <c r="AD19" s="157">
        <v>115300</v>
      </c>
      <c r="AE19" s="157"/>
      <c r="AF19" s="157">
        <v>200</v>
      </c>
      <c r="AG19" s="164"/>
      <c r="AH19" s="153">
        <f>AI19+AJ19+AK19+AL19</f>
        <v>16.951534733441033</v>
      </c>
      <c r="AI19" s="153">
        <f>I19/1.238</f>
        <v>16.922455573505655</v>
      </c>
      <c r="AJ19" s="153"/>
      <c r="AK19" s="153">
        <f>K19/1.238</f>
        <v>0.029079159935379642</v>
      </c>
      <c r="AL19" s="154"/>
      <c r="AM19" s="149">
        <f t="shared" si="3"/>
        <v>6813.542361574383</v>
      </c>
      <c r="AN19" s="149">
        <f t="shared" si="3"/>
        <v>6813.431980906921</v>
      </c>
      <c r="AO19" s="149"/>
      <c r="AP19" s="149">
        <f>AF19/AK19</f>
        <v>6877.777777777778</v>
      </c>
      <c r="AQ19" s="149"/>
      <c r="AR19" s="150">
        <f>AS19+AT19+AU19+AV19</f>
        <v>55.16971254430295</v>
      </c>
      <c r="AS19" s="148">
        <f>AD19/AC21*100</f>
        <v>55.074180574529265</v>
      </c>
      <c r="AT19" s="148"/>
      <c r="AU19" s="148">
        <f>AF19/AC21*100</f>
        <v>0.09553196977368476</v>
      </c>
      <c r="AV19" s="148"/>
    </row>
    <row r="20" spans="1:48" ht="11.25" customHeight="1">
      <c r="A20" s="165"/>
      <c r="B20" s="144"/>
      <c r="C20" s="157"/>
      <c r="D20" s="157"/>
      <c r="E20" s="148"/>
      <c r="F20" s="149"/>
      <c r="G20" s="164"/>
      <c r="H20" s="154"/>
      <c r="I20" s="154"/>
      <c r="J20" s="154"/>
      <c r="K20" s="154"/>
      <c r="L20" s="154"/>
      <c r="M20" s="149"/>
      <c r="N20" s="149"/>
      <c r="O20" s="149"/>
      <c r="P20" s="149"/>
      <c r="Q20" s="149"/>
      <c r="R20" s="150"/>
      <c r="S20" s="148"/>
      <c r="T20" s="148"/>
      <c r="U20" s="148"/>
      <c r="V20" s="148"/>
      <c r="W20" s="180"/>
      <c r="X20" s="180"/>
      <c r="Y20" s="180"/>
      <c r="Z20" s="180"/>
      <c r="AA20" s="165"/>
      <c r="AB20" s="144"/>
      <c r="AC20" s="157"/>
      <c r="AD20" s="157"/>
      <c r="AE20" s="148"/>
      <c r="AF20" s="149"/>
      <c r="AG20" s="164"/>
      <c r="AH20" s="154"/>
      <c r="AI20" s="154"/>
      <c r="AJ20" s="154"/>
      <c r="AK20" s="154"/>
      <c r="AL20" s="154"/>
      <c r="AM20" s="149"/>
      <c r="AN20" s="149"/>
      <c r="AO20" s="149"/>
      <c r="AP20" s="149"/>
      <c r="AQ20" s="149"/>
      <c r="AR20" s="150"/>
      <c r="AS20" s="148"/>
      <c r="AT20" s="148"/>
      <c r="AU20" s="148"/>
      <c r="AV20" s="148"/>
    </row>
    <row r="21" spans="1:48" ht="15.75" customHeight="1">
      <c r="A21" s="143"/>
      <c r="B21" s="162" t="s">
        <v>119</v>
      </c>
      <c r="C21" s="157">
        <f>SUM(C15:C20)</f>
        <v>209354</v>
      </c>
      <c r="D21" s="157">
        <f>SUM(D15:D20)</f>
        <v>208104</v>
      </c>
      <c r="E21" s="148"/>
      <c r="F21" s="149">
        <f>SUM(F15:F20)</f>
        <v>1250</v>
      </c>
      <c r="G21" s="157">
        <f>SUM(G15:G20)</f>
        <v>0</v>
      </c>
      <c r="H21" s="153">
        <f>SUM(H15:H19)</f>
        <v>41.935</v>
      </c>
      <c r="I21" s="154">
        <f>SUM(I15:I19)</f>
        <v>41.24905</v>
      </c>
      <c r="J21" s="154"/>
      <c r="K21" s="154">
        <f>SUM(K15:K19)</f>
        <v>0.6859500000000001</v>
      </c>
      <c r="L21" s="149">
        <f>SUM(L15:L19)</f>
        <v>0</v>
      </c>
      <c r="M21" s="149">
        <f>C21/H21</f>
        <v>4992.34529629188</v>
      </c>
      <c r="N21" s="149">
        <f>D21/I21</f>
        <v>5045.061643843919</v>
      </c>
      <c r="O21" s="149"/>
      <c r="P21" s="149">
        <f>F21/K21</f>
        <v>1822.2902543917194</v>
      </c>
      <c r="Q21" s="149"/>
      <c r="R21" s="150">
        <f>SUM(R15:R20)</f>
        <v>100</v>
      </c>
      <c r="S21" s="150">
        <f>SUM(S15:S20)</f>
        <v>99.40292518891447</v>
      </c>
      <c r="T21" s="150"/>
      <c r="U21" s="150">
        <f>SUM(U15:U20)</f>
        <v>0.5970748110855297</v>
      </c>
      <c r="V21" s="163">
        <f>SUM(V15:V20)</f>
        <v>0</v>
      </c>
      <c r="W21" s="181"/>
      <c r="X21" s="181"/>
      <c r="Y21" s="181"/>
      <c r="Z21" s="181"/>
      <c r="AA21" s="143"/>
      <c r="AB21" s="162" t="s">
        <v>119</v>
      </c>
      <c r="AC21" s="157">
        <f>SUM(AC15:AC20)</f>
        <v>209354</v>
      </c>
      <c r="AD21" s="157">
        <f>SUM(AD15:AD20)</f>
        <v>208104</v>
      </c>
      <c r="AE21" s="148"/>
      <c r="AF21" s="149">
        <f>SUM(AF15:AF20)</f>
        <v>1250</v>
      </c>
      <c r="AG21" s="157">
        <f>SUM(AG15:AG20)</f>
        <v>0</v>
      </c>
      <c r="AH21" s="153">
        <f>SUM(AH15:AH19)</f>
        <v>33.87318255250403</v>
      </c>
      <c r="AI21" s="153">
        <f>SUM(AI15:AI19)</f>
        <v>33.319103392568664</v>
      </c>
      <c r="AJ21" s="154"/>
      <c r="AK21" s="153">
        <f>SUM(AK15:AK19)</f>
        <v>0.5540791599353797</v>
      </c>
      <c r="AL21" s="157">
        <f>SUM(AL15:AL19)</f>
        <v>0</v>
      </c>
      <c r="AM21" s="149">
        <f>AC21/AH21</f>
        <v>6180.523476809349</v>
      </c>
      <c r="AN21" s="149">
        <f>AD21/AI21</f>
        <v>6245.786315078771</v>
      </c>
      <c r="AO21" s="149"/>
      <c r="AP21" s="149">
        <f>AF21/AK21</f>
        <v>2255.9953349369484</v>
      </c>
      <c r="AQ21" s="149"/>
      <c r="AR21" s="150">
        <f>SUM(AR15:AR20)</f>
        <v>100</v>
      </c>
      <c r="AS21" s="150">
        <f>SUM(AS15:AS20)</f>
        <v>99.40292518891447</v>
      </c>
      <c r="AT21" s="150"/>
      <c r="AU21" s="150">
        <f>SUM(AU15:AU20)</f>
        <v>0.5970748110855297</v>
      </c>
      <c r="AV21" s="163">
        <f>SUM(AV15:AV20)</f>
        <v>0</v>
      </c>
    </row>
    <row r="22" spans="1:48" ht="15.75" customHeight="1">
      <c r="A22" s="200" t="s">
        <v>122</v>
      </c>
      <c r="B22" s="201"/>
      <c r="C22" s="201"/>
      <c r="D22" s="201"/>
      <c r="E22" s="201"/>
      <c r="F22" s="201"/>
      <c r="G22" s="201"/>
      <c r="H22" s="201"/>
      <c r="I22" s="201"/>
      <c r="J22" s="201"/>
      <c r="K22" s="201"/>
      <c r="L22" s="201"/>
      <c r="M22" s="201"/>
      <c r="N22" s="201"/>
      <c r="O22" s="201"/>
      <c r="P22" s="201"/>
      <c r="Q22" s="201"/>
      <c r="R22" s="201"/>
      <c r="S22" s="201"/>
      <c r="T22" s="201"/>
      <c r="U22" s="201"/>
      <c r="V22" s="202"/>
      <c r="W22" s="182"/>
      <c r="X22" s="182"/>
      <c r="Y22" s="182"/>
      <c r="Z22" s="182"/>
      <c r="AA22" s="200" t="s">
        <v>122</v>
      </c>
      <c r="AB22" s="201"/>
      <c r="AC22" s="201"/>
      <c r="AD22" s="201"/>
      <c r="AE22" s="201"/>
      <c r="AF22" s="201"/>
      <c r="AG22" s="201"/>
      <c r="AH22" s="201"/>
      <c r="AI22" s="201"/>
      <c r="AJ22" s="201"/>
      <c r="AK22" s="201"/>
      <c r="AL22" s="201"/>
      <c r="AM22" s="201"/>
      <c r="AN22" s="201"/>
      <c r="AO22" s="201"/>
      <c r="AP22" s="201"/>
      <c r="AQ22" s="201"/>
      <c r="AR22" s="201"/>
      <c r="AS22" s="201"/>
      <c r="AT22" s="201"/>
      <c r="AU22" s="201"/>
      <c r="AV22" s="202"/>
    </row>
    <row r="23" spans="1:48" ht="15.75" customHeight="1">
      <c r="A23" s="143" t="s">
        <v>41</v>
      </c>
      <c r="B23" s="144" t="s">
        <v>113</v>
      </c>
      <c r="C23" s="148"/>
      <c r="D23" s="148"/>
      <c r="E23" s="148"/>
      <c r="F23" s="148"/>
      <c r="G23" s="152"/>
      <c r="H23" s="154"/>
      <c r="I23" s="154"/>
      <c r="J23" s="154"/>
      <c r="K23" s="154"/>
      <c r="L23" s="154"/>
      <c r="M23" s="149"/>
      <c r="N23" s="149"/>
      <c r="O23" s="149"/>
      <c r="P23" s="149"/>
      <c r="Q23" s="149"/>
      <c r="R23" s="150"/>
      <c r="S23" s="148"/>
      <c r="T23" s="148"/>
      <c r="U23" s="148"/>
      <c r="V23" s="148"/>
      <c r="W23" s="180"/>
      <c r="X23" s="180"/>
      <c r="Y23" s="180"/>
      <c r="Z23" s="180"/>
      <c r="AA23" s="143" t="s">
        <v>41</v>
      </c>
      <c r="AB23" s="144" t="s">
        <v>113</v>
      </c>
      <c r="AC23" s="148"/>
      <c r="AD23" s="148"/>
      <c r="AE23" s="148"/>
      <c r="AF23" s="148"/>
      <c r="AG23" s="152"/>
      <c r="AH23" s="154"/>
      <c r="AI23" s="154"/>
      <c r="AJ23" s="154"/>
      <c r="AK23" s="154"/>
      <c r="AL23" s="154"/>
      <c r="AM23" s="149"/>
      <c r="AN23" s="149"/>
      <c r="AO23" s="149"/>
      <c r="AP23" s="149"/>
      <c r="AQ23" s="149"/>
      <c r="AR23" s="150"/>
      <c r="AS23" s="148"/>
      <c r="AT23" s="148"/>
      <c r="AU23" s="148"/>
      <c r="AV23" s="148"/>
    </row>
    <row r="24" spans="1:48" ht="15.75" customHeight="1">
      <c r="A24" s="143" t="s">
        <v>42</v>
      </c>
      <c r="B24" s="144" t="s">
        <v>114</v>
      </c>
      <c r="C24" s="157"/>
      <c r="D24" s="157"/>
      <c r="E24" s="148"/>
      <c r="F24" s="148"/>
      <c r="G24" s="152"/>
      <c r="H24" s="153"/>
      <c r="I24" s="166"/>
      <c r="J24" s="154"/>
      <c r="K24" s="154"/>
      <c r="L24" s="154"/>
      <c r="M24" s="149"/>
      <c r="N24" s="149"/>
      <c r="O24" s="149"/>
      <c r="P24" s="149"/>
      <c r="Q24" s="149"/>
      <c r="R24" s="150"/>
      <c r="S24" s="148"/>
      <c r="T24" s="148"/>
      <c r="U24" s="148"/>
      <c r="V24" s="148"/>
      <c r="W24" s="180"/>
      <c r="X24" s="180"/>
      <c r="Y24" s="180"/>
      <c r="Z24" s="180"/>
      <c r="AA24" s="143" t="s">
        <v>42</v>
      </c>
      <c r="AB24" s="144" t="s">
        <v>114</v>
      </c>
      <c r="AC24" s="157"/>
      <c r="AD24" s="157"/>
      <c r="AE24" s="148"/>
      <c r="AF24" s="148"/>
      <c r="AG24" s="152"/>
      <c r="AH24" s="153"/>
      <c r="AI24" s="153"/>
      <c r="AJ24" s="154"/>
      <c r="AK24" s="154"/>
      <c r="AL24" s="154"/>
      <c r="AM24" s="149"/>
      <c r="AN24" s="149"/>
      <c r="AO24" s="149"/>
      <c r="AP24" s="149"/>
      <c r="AQ24" s="149"/>
      <c r="AR24" s="150"/>
      <c r="AS24" s="148"/>
      <c r="AT24" s="148"/>
      <c r="AU24" s="148"/>
      <c r="AV24" s="148"/>
    </row>
    <row r="25" spans="1:48" ht="15.75" customHeight="1">
      <c r="A25" s="143" t="s">
        <v>43</v>
      </c>
      <c r="B25" s="144" t="s">
        <v>121</v>
      </c>
      <c r="C25" s="157">
        <f>D25+E25+F25+G25</f>
        <v>59650</v>
      </c>
      <c r="D25" s="148">
        <f>59650</f>
        <v>59650</v>
      </c>
      <c r="E25" s="149"/>
      <c r="F25" s="157"/>
      <c r="G25" s="157"/>
      <c r="H25" s="158">
        <f>I25+J25+K25+L25</f>
        <v>14.887</v>
      </c>
      <c r="I25" s="158">
        <v>14.887</v>
      </c>
      <c r="J25" s="158"/>
      <c r="K25" s="158"/>
      <c r="L25" s="154"/>
      <c r="M25" s="149">
        <f aca="true" t="shared" si="4" ref="M25:N27">C25/H25</f>
        <v>4006.8516155034595</v>
      </c>
      <c r="N25" s="149">
        <f t="shared" si="4"/>
        <v>4006.8516155034595</v>
      </c>
      <c r="O25" s="149"/>
      <c r="P25" s="149"/>
      <c r="Q25" s="149"/>
      <c r="R25" s="150">
        <f>S25+T25+U25+V25</f>
        <v>28.753916606411185</v>
      </c>
      <c r="S25" s="148">
        <f>D25/C29*100</f>
        <v>28.753916606411185</v>
      </c>
      <c r="T25" s="148"/>
      <c r="U25" s="148">
        <f>F25/C29*100</f>
        <v>0</v>
      </c>
      <c r="V25" s="149">
        <f>G25/C29*100</f>
        <v>0</v>
      </c>
      <c r="W25" s="181"/>
      <c r="X25" s="181"/>
      <c r="Y25" s="181"/>
      <c r="Z25" s="181"/>
      <c r="AA25" s="143" t="s">
        <v>43</v>
      </c>
      <c r="AB25" s="144" t="s">
        <v>121</v>
      </c>
      <c r="AC25" s="157">
        <f>AD25+AE25+AF25+AG25</f>
        <v>59650</v>
      </c>
      <c r="AD25" s="148">
        <f>59650</f>
        <v>59650</v>
      </c>
      <c r="AE25" s="149"/>
      <c r="AF25" s="157"/>
      <c r="AG25" s="157"/>
      <c r="AH25" s="153">
        <f>AI25+AJ25+AK25+AL25</f>
        <v>12.025040387722132</v>
      </c>
      <c r="AI25" s="153">
        <f>I25/1.238</f>
        <v>12.025040387722132</v>
      </c>
      <c r="AJ25" s="153"/>
      <c r="AK25" s="153">
        <f>K25/1.238</f>
        <v>0</v>
      </c>
      <c r="AL25" s="154"/>
      <c r="AM25" s="149">
        <f aca="true" t="shared" si="5" ref="AM25:AN27">AC25/AH25</f>
        <v>4960.482299993283</v>
      </c>
      <c r="AN25" s="149">
        <f t="shared" si="5"/>
        <v>4960.482299993283</v>
      </c>
      <c r="AO25" s="149"/>
      <c r="AP25" s="149"/>
      <c r="AQ25" s="149"/>
      <c r="AR25" s="150">
        <f>AS25+AT25+AU25+AV25</f>
        <v>28.753916606411185</v>
      </c>
      <c r="AS25" s="148">
        <f>AD25/AC29*100</f>
        <v>28.753916606411185</v>
      </c>
      <c r="AT25" s="148"/>
      <c r="AU25" s="148">
        <f>AF25/AC29*100</f>
        <v>0</v>
      </c>
      <c r="AV25" s="149">
        <f>AG25/AC29*100</f>
        <v>0</v>
      </c>
    </row>
    <row r="26" spans="1:48" ht="15.75" customHeight="1">
      <c r="A26" s="143" t="s">
        <v>44</v>
      </c>
      <c r="B26" s="144" t="s">
        <v>116</v>
      </c>
      <c r="C26" s="157">
        <f>D26+E26+F26+G26</f>
        <v>28100</v>
      </c>
      <c r="D26" s="157">
        <f>28100-F26</f>
        <v>25500</v>
      </c>
      <c r="E26" s="148"/>
      <c r="F26" s="157">
        <v>2600</v>
      </c>
      <c r="G26" s="157"/>
      <c r="H26" s="158">
        <f>I26+J26+K26+L26</f>
        <v>6.3959</v>
      </c>
      <c r="I26" s="158">
        <f>6.3959-K26</f>
        <v>5.7459</v>
      </c>
      <c r="J26" s="158"/>
      <c r="K26" s="158">
        <f>F26/4000</f>
        <v>0.65</v>
      </c>
      <c r="L26" s="153"/>
      <c r="M26" s="149">
        <f t="shared" si="4"/>
        <v>4393.439547209931</v>
      </c>
      <c r="N26" s="149">
        <f t="shared" si="4"/>
        <v>4437.947057902156</v>
      </c>
      <c r="O26" s="149"/>
      <c r="P26" s="149">
        <f>F26/K26</f>
        <v>4000</v>
      </c>
      <c r="Q26" s="149"/>
      <c r="R26" s="150">
        <f>S26+T26+U26+V26</f>
        <v>13.545432634369728</v>
      </c>
      <c r="S26" s="148">
        <f>D26/C29*100</f>
        <v>12.292118582791034</v>
      </c>
      <c r="T26" s="148"/>
      <c r="U26" s="148">
        <f>F26/C29*100</f>
        <v>1.2533140515786938</v>
      </c>
      <c r="V26" s="149">
        <f>G26/C29*100</f>
        <v>0</v>
      </c>
      <c r="W26" s="181"/>
      <c r="X26" s="181"/>
      <c r="Y26" s="181"/>
      <c r="Z26" s="181"/>
      <c r="AA26" s="143" t="s">
        <v>44</v>
      </c>
      <c r="AB26" s="144" t="s">
        <v>116</v>
      </c>
      <c r="AC26" s="157">
        <f>AD26+AE26+AF26+AG26</f>
        <v>28100</v>
      </c>
      <c r="AD26" s="157">
        <f>28100-AF26</f>
        <v>25500</v>
      </c>
      <c r="AE26" s="148"/>
      <c r="AF26" s="157">
        <v>2600</v>
      </c>
      <c r="AG26" s="157"/>
      <c r="AH26" s="153">
        <f>AI26+AJ26+AK26+AL26</f>
        <v>5.166316639741519</v>
      </c>
      <c r="AI26" s="153">
        <f>I26/1.238</f>
        <v>4.641276252019386</v>
      </c>
      <c r="AJ26" s="153"/>
      <c r="AK26" s="153">
        <f>K26/1.238</f>
        <v>0.5250403877221325</v>
      </c>
      <c r="AL26" s="153"/>
      <c r="AM26" s="149">
        <f t="shared" si="5"/>
        <v>5439.078159445895</v>
      </c>
      <c r="AN26" s="149">
        <f t="shared" si="5"/>
        <v>5494.1784576828695</v>
      </c>
      <c r="AO26" s="149"/>
      <c r="AP26" s="149">
        <f>AF26/AK26</f>
        <v>4952</v>
      </c>
      <c r="AQ26" s="149"/>
      <c r="AR26" s="150">
        <f>AS26+AT26+AU26+AV26</f>
        <v>13.545432634369728</v>
      </c>
      <c r="AS26" s="148">
        <f>AD26/AC29*100</f>
        <v>12.292118582791034</v>
      </c>
      <c r="AT26" s="148"/>
      <c r="AU26" s="148">
        <f>AF26/AC29*100</f>
        <v>1.2533140515786938</v>
      </c>
      <c r="AV26" s="149">
        <f>AG26/AC29*100</f>
        <v>0</v>
      </c>
    </row>
    <row r="27" spans="1:48" ht="15.75" customHeight="1">
      <c r="A27" s="143" t="s">
        <v>117</v>
      </c>
      <c r="B27" s="160" t="s">
        <v>118</v>
      </c>
      <c r="C27" s="157">
        <f>D27+E27+F27+G27</f>
        <v>119700</v>
      </c>
      <c r="D27" s="157">
        <f>119700-F27</f>
        <v>119500</v>
      </c>
      <c r="E27" s="157"/>
      <c r="F27" s="157">
        <v>200</v>
      </c>
      <c r="G27" s="164"/>
      <c r="H27" s="158">
        <f>I27+J27+K27+L27</f>
        <v>20.986</v>
      </c>
      <c r="I27" s="158">
        <f>20.986-K27</f>
        <v>20.95</v>
      </c>
      <c r="J27" s="158"/>
      <c r="K27" s="158">
        <v>0.036</v>
      </c>
      <c r="L27" s="153"/>
      <c r="M27" s="149">
        <f t="shared" si="4"/>
        <v>5703.802535023348</v>
      </c>
      <c r="N27" s="149">
        <f t="shared" si="4"/>
        <v>5704.057279236277</v>
      </c>
      <c r="O27" s="149"/>
      <c r="P27" s="149">
        <f>F27/K27</f>
        <v>5555.555555555556</v>
      </c>
      <c r="Q27" s="149"/>
      <c r="R27" s="150">
        <f>S27+T27+U27+V27</f>
        <v>57.700650759219094</v>
      </c>
      <c r="S27" s="148">
        <f>D27/C29*100</f>
        <v>57.60424198602073</v>
      </c>
      <c r="T27" s="148"/>
      <c r="U27" s="148">
        <f>F27/C29*100</f>
        <v>0.09640877319836105</v>
      </c>
      <c r="V27" s="149"/>
      <c r="W27" s="181"/>
      <c r="X27" s="181"/>
      <c r="Y27" s="181"/>
      <c r="Z27" s="181"/>
      <c r="AA27" s="143" t="s">
        <v>117</v>
      </c>
      <c r="AB27" s="160" t="s">
        <v>118</v>
      </c>
      <c r="AC27" s="157">
        <f>AD27+AE27+AF27+AG27</f>
        <v>119700</v>
      </c>
      <c r="AD27" s="157">
        <f>119700-AF27</f>
        <v>119500</v>
      </c>
      <c r="AE27" s="157"/>
      <c r="AF27" s="157">
        <v>200</v>
      </c>
      <c r="AG27" s="164"/>
      <c r="AH27" s="153">
        <f>AI27+AJ27+AK27+AL27</f>
        <v>16.951534733441033</v>
      </c>
      <c r="AI27" s="153">
        <f>I27/1.238</f>
        <v>16.922455573505655</v>
      </c>
      <c r="AJ27" s="153"/>
      <c r="AK27" s="153">
        <f>K27/1.238</f>
        <v>0.029079159935379642</v>
      </c>
      <c r="AL27" s="153"/>
      <c r="AM27" s="149">
        <f t="shared" si="5"/>
        <v>7061.307538358907</v>
      </c>
      <c r="AN27" s="149">
        <f t="shared" si="5"/>
        <v>7061.622911694511</v>
      </c>
      <c r="AO27" s="149"/>
      <c r="AP27" s="149">
        <f>AF27/AK27</f>
        <v>6877.777777777778</v>
      </c>
      <c r="AQ27" s="149"/>
      <c r="AR27" s="150">
        <f>AS27+AT27+AU27+AV27</f>
        <v>57.700650759219094</v>
      </c>
      <c r="AS27" s="148">
        <f>AD27/AC29*100</f>
        <v>57.60424198602073</v>
      </c>
      <c r="AT27" s="148"/>
      <c r="AU27" s="148">
        <f>AF27/AC29*100</f>
        <v>0.09640877319836105</v>
      </c>
      <c r="AV27" s="149"/>
    </row>
    <row r="28" spans="1:48" ht="10.5" customHeight="1">
      <c r="A28" s="165"/>
      <c r="B28" s="144"/>
      <c r="C28" s="157"/>
      <c r="D28" s="157"/>
      <c r="E28" s="148"/>
      <c r="F28" s="149"/>
      <c r="G28" s="157"/>
      <c r="H28" s="154"/>
      <c r="I28" s="167"/>
      <c r="J28" s="167"/>
      <c r="K28" s="154"/>
      <c r="L28" s="154"/>
      <c r="M28" s="149"/>
      <c r="N28" s="149"/>
      <c r="O28" s="149"/>
      <c r="P28" s="149"/>
      <c r="Q28" s="149"/>
      <c r="R28" s="150"/>
      <c r="S28" s="148"/>
      <c r="T28" s="148"/>
      <c r="U28" s="148"/>
      <c r="V28" s="149"/>
      <c r="W28" s="181"/>
      <c r="X28" s="181"/>
      <c r="Y28" s="181"/>
      <c r="Z28" s="181"/>
      <c r="AA28" s="165"/>
      <c r="AB28" s="144"/>
      <c r="AC28" s="157"/>
      <c r="AD28" s="157"/>
      <c r="AE28" s="148"/>
      <c r="AF28" s="149"/>
      <c r="AG28" s="157"/>
      <c r="AH28" s="154"/>
      <c r="AI28" s="167"/>
      <c r="AJ28" s="167"/>
      <c r="AK28" s="153"/>
      <c r="AL28" s="154"/>
      <c r="AM28" s="149"/>
      <c r="AN28" s="149"/>
      <c r="AO28" s="149"/>
      <c r="AP28" s="149"/>
      <c r="AQ28" s="149"/>
      <c r="AR28" s="150"/>
      <c r="AS28" s="148"/>
      <c r="AT28" s="148"/>
      <c r="AU28" s="148"/>
      <c r="AV28" s="149"/>
    </row>
    <row r="29" spans="1:48" ht="15.75" customHeight="1">
      <c r="A29" s="143"/>
      <c r="B29" s="162" t="s">
        <v>119</v>
      </c>
      <c r="C29" s="157">
        <f>SUM(C23:C28)</f>
        <v>207450</v>
      </c>
      <c r="D29" s="157">
        <f>SUM(D23:D28)</f>
        <v>204650</v>
      </c>
      <c r="E29" s="148"/>
      <c r="F29" s="149">
        <f>SUM(F23:F28)</f>
        <v>2800</v>
      </c>
      <c r="G29" s="157">
        <f>SUM(G23:G28)</f>
        <v>0</v>
      </c>
      <c r="H29" s="153">
        <f>SUM(H23:H28)</f>
        <v>42.2689</v>
      </c>
      <c r="I29" s="153">
        <f>SUM(I23:I28)</f>
        <v>41.582899999999995</v>
      </c>
      <c r="J29" s="154"/>
      <c r="K29" s="153">
        <f>SUM(K23:K28)</f>
        <v>0.686</v>
      </c>
      <c r="L29" s="149">
        <f>SUM(L23:L28)</f>
        <v>0</v>
      </c>
      <c r="M29" s="149">
        <f>C29/H29</f>
        <v>4907.863701208216</v>
      </c>
      <c r="N29" s="149">
        <f>D29/I29</f>
        <v>4921.494171883154</v>
      </c>
      <c r="O29" s="149"/>
      <c r="P29" s="149">
        <f>F29/K29</f>
        <v>4081.632653061224</v>
      </c>
      <c r="Q29" s="149"/>
      <c r="R29" s="150">
        <f>SUM(R23:R28)</f>
        <v>100</v>
      </c>
      <c r="S29" s="150">
        <f>SUM(S23:S28)</f>
        <v>98.65027717522295</v>
      </c>
      <c r="T29" s="150"/>
      <c r="U29" s="150">
        <f>SUM(U23:U28)</f>
        <v>1.349722824777055</v>
      </c>
      <c r="V29" s="163">
        <f>SUM(V23:V28)</f>
        <v>0</v>
      </c>
      <c r="W29" s="181"/>
      <c r="X29" s="181"/>
      <c r="Y29" s="181"/>
      <c r="Z29" s="181"/>
      <c r="AA29" s="143"/>
      <c r="AB29" s="162" t="s">
        <v>119</v>
      </c>
      <c r="AC29" s="157">
        <f>SUM(AC23:AC28)</f>
        <v>207450</v>
      </c>
      <c r="AD29" s="157">
        <f>SUM(AD23:AD28)</f>
        <v>204650</v>
      </c>
      <c r="AE29" s="148"/>
      <c r="AF29" s="149">
        <f>SUM(AF23:AF28)</f>
        <v>2800</v>
      </c>
      <c r="AG29" s="157">
        <f>SUM(AG23:AG28)</f>
        <v>0</v>
      </c>
      <c r="AH29" s="153">
        <f>SUM(AH23:AH28)</f>
        <v>34.14289176090469</v>
      </c>
      <c r="AI29" s="153">
        <f>SUM(AI23:AI28)</f>
        <v>33.58877221324717</v>
      </c>
      <c r="AJ29" s="154"/>
      <c r="AK29" s="153">
        <f>SUM(AK23:AK28)</f>
        <v>0.5541195476575121</v>
      </c>
      <c r="AL29" s="154"/>
      <c r="AM29" s="149">
        <f>AC29/AH29</f>
        <v>6075.935262095772</v>
      </c>
      <c r="AN29" s="149">
        <f>AD29/AI29</f>
        <v>6092.809784791345</v>
      </c>
      <c r="AO29" s="149"/>
      <c r="AP29" s="149">
        <f>AF29/AK29</f>
        <v>5053.061224489796</v>
      </c>
      <c r="AQ29" s="149"/>
      <c r="AR29" s="150">
        <f>SUM(AR23:AR28)</f>
        <v>100</v>
      </c>
      <c r="AS29" s="150">
        <f>SUM(AS23:AS28)</f>
        <v>98.65027717522295</v>
      </c>
      <c r="AT29" s="150"/>
      <c r="AU29" s="150">
        <f>SUM(AU23:AU28)</f>
        <v>1.349722824777055</v>
      </c>
      <c r="AV29" s="163">
        <f>SUM(AV23:AV28)</f>
        <v>0</v>
      </c>
    </row>
    <row r="30" spans="1:48" ht="15.75" customHeight="1" hidden="1">
      <c r="A30" s="205" t="s">
        <v>123</v>
      </c>
      <c r="B30" s="206"/>
      <c r="C30" s="206"/>
      <c r="D30" s="206"/>
      <c r="E30" s="206"/>
      <c r="F30" s="206"/>
      <c r="G30" s="206"/>
      <c r="H30" s="206"/>
      <c r="I30" s="206"/>
      <c r="J30" s="206"/>
      <c r="K30" s="206"/>
      <c r="L30" s="206"/>
      <c r="M30" s="206"/>
      <c r="N30" s="206"/>
      <c r="O30" s="206"/>
      <c r="P30" s="206"/>
      <c r="Q30" s="206"/>
      <c r="R30" s="206"/>
      <c r="S30" s="206"/>
      <c r="T30" s="206"/>
      <c r="U30" s="206"/>
      <c r="V30" s="207"/>
      <c r="W30" s="183"/>
      <c r="X30" s="183"/>
      <c r="Y30" s="183"/>
      <c r="Z30" s="183"/>
      <c r="AA30" s="205" t="s">
        <v>123</v>
      </c>
      <c r="AB30" s="206"/>
      <c r="AC30" s="206"/>
      <c r="AD30" s="206"/>
      <c r="AE30" s="206"/>
      <c r="AF30" s="206"/>
      <c r="AG30" s="206"/>
      <c r="AH30" s="206"/>
      <c r="AI30" s="206"/>
      <c r="AJ30" s="206"/>
      <c r="AK30" s="206"/>
      <c r="AL30" s="206"/>
      <c r="AM30" s="206"/>
      <c r="AN30" s="206"/>
      <c r="AO30" s="206"/>
      <c r="AP30" s="206"/>
      <c r="AQ30" s="206"/>
      <c r="AR30" s="206"/>
      <c r="AS30" s="206"/>
      <c r="AT30" s="206"/>
      <c r="AU30" s="206"/>
      <c r="AV30" s="207"/>
    </row>
    <row r="31" spans="1:48" ht="15.75" customHeight="1" hidden="1">
      <c r="A31" s="143" t="s">
        <v>41</v>
      </c>
      <c r="B31" s="144" t="s">
        <v>113</v>
      </c>
      <c r="C31" s="148"/>
      <c r="D31" s="148"/>
      <c r="E31" s="148"/>
      <c r="F31" s="148"/>
      <c r="G31" s="152"/>
      <c r="H31" s="154"/>
      <c r="I31" s="154"/>
      <c r="J31" s="154"/>
      <c r="K31" s="154"/>
      <c r="L31" s="154"/>
      <c r="M31" s="149"/>
      <c r="N31" s="149"/>
      <c r="O31" s="149"/>
      <c r="P31" s="149"/>
      <c r="Q31" s="149"/>
      <c r="R31" s="150"/>
      <c r="S31" s="148"/>
      <c r="T31" s="148"/>
      <c r="U31" s="148"/>
      <c r="V31" s="152"/>
      <c r="W31" s="180"/>
      <c r="X31" s="180"/>
      <c r="Y31" s="180"/>
      <c r="Z31" s="180"/>
      <c r="AA31" s="143" t="s">
        <v>41</v>
      </c>
      <c r="AB31" s="144" t="s">
        <v>113</v>
      </c>
      <c r="AC31" s="148"/>
      <c r="AD31" s="148"/>
      <c r="AE31" s="148"/>
      <c r="AF31" s="148"/>
      <c r="AG31" s="152"/>
      <c r="AH31" s="154"/>
      <c r="AI31" s="154"/>
      <c r="AJ31" s="154"/>
      <c r="AK31" s="154"/>
      <c r="AL31" s="154"/>
      <c r="AM31" s="149"/>
      <c r="AN31" s="149"/>
      <c r="AO31" s="149"/>
      <c r="AP31" s="149"/>
      <c r="AQ31" s="149"/>
      <c r="AR31" s="150"/>
      <c r="AS31" s="148"/>
      <c r="AT31" s="148"/>
      <c r="AU31" s="148"/>
      <c r="AV31" s="148"/>
    </row>
    <row r="32" spans="1:48" ht="15.75" customHeight="1" hidden="1">
      <c r="A32" s="143" t="s">
        <v>42</v>
      </c>
      <c r="B32" s="144" t="s">
        <v>114</v>
      </c>
      <c r="C32" s="157"/>
      <c r="D32" s="157"/>
      <c r="E32" s="148"/>
      <c r="F32" s="148"/>
      <c r="G32" s="152"/>
      <c r="H32" s="153"/>
      <c r="I32" s="166"/>
      <c r="J32" s="154"/>
      <c r="K32" s="154"/>
      <c r="L32" s="154"/>
      <c r="M32" s="149"/>
      <c r="N32" s="149"/>
      <c r="O32" s="149"/>
      <c r="P32" s="149"/>
      <c r="Q32" s="149"/>
      <c r="R32" s="150"/>
      <c r="S32" s="148"/>
      <c r="T32" s="148"/>
      <c r="U32" s="148"/>
      <c r="V32" s="152"/>
      <c r="W32" s="180"/>
      <c r="X32" s="180"/>
      <c r="Y32" s="180"/>
      <c r="Z32" s="180"/>
      <c r="AA32" s="143" t="s">
        <v>42</v>
      </c>
      <c r="AB32" s="144" t="s">
        <v>114</v>
      </c>
      <c r="AC32" s="157"/>
      <c r="AD32" s="157"/>
      <c r="AE32" s="148"/>
      <c r="AF32" s="148"/>
      <c r="AG32" s="152"/>
      <c r="AH32" s="153"/>
      <c r="AI32" s="153"/>
      <c r="AJ32" s="154"/>
      <c r="AK32" s="154"/>
      <c r="AL32" s="154"/>
      <c r="AM32" s="149"/>
      <c r="AN32" s="149"/>
      <c r="AO32" s="149"/>
      <c r="AP32" s="149"/>
      <c r="AQ32" s="149"/>
      <c r="AR32" s="150"/>
      <c r="AS32" s="148"/>
      <c r="AT32" s="148"/>
      <c r="AU32" s="148"/>
      <c r="AV32" s="148"/>
    </row>
    <row r="33" spans="1:48" ht="15.75" customHeight="1" hidden="1">
      <c r="A33" s="143" t="s">
        <v>43</v>
      </c>
      <c r="B33" s="144" t="s">
        <v>121</v>
      </c>
      <c r="C33" s="157">
        <f>D33+E33+F33+G33</f>
        <v>60000</v>
      </c>
      <c r="D33" s="148">
        <v>60000</v>
      </c>
      <c r="E33" s="149"/>
      <c r="F33" s="157"/>
      <c r="G33" s="157"/>
      <c r="H33" s="158">
        <f>I33+J33+K33+L33</f>
        <v>14.886999999999999</v>
      </c>
      <c r="I33" s="158">
        <f>15.187-K33-0.3</f>
        <v>14.886999999999999</v>
      </c>
      <c r="J33" s="158"/>
      <c r="K33" s="158"/>
      <c r="L33" s="154"/>
      <c r="M33" s="149">
        <f aca="true" t="shared" si="6" ref="M33:N35">C33/H33</f>
        <v>4030.3620608584674</v>
      </c>
      <c r="N33" s="149">
        <f t="shared" si="6"/>
        <v>4030.3620608584674</v>
      </c>
      <c r="O33" s="149"/>
      <c r="P33" s="149"/>
      <c r="Q33" s="149"/>
      <c r="R33" s="150">
        <f>S33+T33+U33+V33</f>
        <v>28.694404591104732</v>
      </c>
      <c r="S33" s="148">
        <f>D33/C37*100</f>
        <v>28.694404591104732</v>
      </c>
      <c r="T33" s="148"/>
      <c r="U33" s="148">
        <f>F33/C37*100</f>
        <v>0</v>
      </c>
      <c r="V33" s="173">
        <f>G33/C37*100</f>
        <v>0</v>
      </c>
      <c r="W33" s="181"/>
      <c r="X33" s="181"/>
      <c r="Y33" s="181"/>
      <c r="Z33" s="181"/>
      <c r="AA33" s="143" t="s">
        <v>43</v>
      </c>
      <c r="AB33" s="144" t="s">
        <v>121</v>
      </c>
      <c r="AC33" s="157">
        <f>AD33+AE33+AF33+AG33</f>
        <v>60000</v>
      </c>
      <c r="AD33" s="148">
        <v>60000</v>
      </c>
      <c r="AE33" s="149"/>
      <c r="AF33" s="157"/>
      <c r="AG33" s="157"/>
      <c r="AH33" s="153">
        <f>AI33+AJ33+AK33+AL33</f>
        <v>12.025040387722132</v>
      </c>
      <c r="AI33" s="153">
        <f>I33/1.238</f>
        <v>12.025040387722132</v>
      </c>
      <c r="AJ33" s="153"/>
      <c r="AK33" s="153">
        <f>K33/1.238</f>
        <v>0</v>
      </c>
      <c r="AL33" s="154"/>
      <c r="AM33" s="149">
        <f aca="true" t="shared" si="7" ref="AM33:AN35">AC33/AH33</f>
        <v>4989.588231342782</v>
      </c>
      <c r="AN33" s="149">
        <f t="shared" si="7"/>
        <v>4989.588231342782</v>
      </c>
      <c r="AO33" s="149"/>
      <c r="AP33" s="149"/>
      <c r="AQ33" s="149"/>
      <c r="AR33" s="150">
        <f>AS33+AT33+AU33+AV33</f>
        <v>28.694404591104732</v>
      </c>
      <c r="AS33" s="148">
        <f>AD33/AC37*100</f>
        <v>28.694404591104732</v>
      </c>
      <c r="AT33" s="148"/>
      <c r="AU33" s="148">
        <f>AF33/AC37*100</f>
        <v>0</v>
      </c>
      <c r="AV33" s="149">
        <f>AG33/AC37*100</f>
        <v>0</v>
      </c>
    </row>
    <row r="34" spans="1:48" ht="15.75" customHeight="1" hidden="1">
      <c r="A34" s="143" t="s">
        <v>44</v>
      </c>
      <c r="B34" s="144" t="s">
        <v>116</v>
      </c>
      <c r="C34" s="157">
        <f>D34+E34+F34+G34</f>
        <v>30000</v>
      </c>
      <c r="D34" s="157">
        <f>30000-F34</f>
        <v>27200</v>
      </c>
      <c r="E34" s="148"/>
      <c r="F34" s="149">
        <v>2800</v>
      </c>
      <c r="G34" s="157"/>
      <c r="H34" s="158">
        <f>I34+J34+K34+L34</f>
        <v>6.062</v>
      </c>
      <c r="I34" s="158">
        <f>4.96+0.298+0.072</f>
        <v>5.33</v>
      </c>
      <c r="J34" s="158"/>
      <c r="K34" s="158">
        <f>0.3+0.432</f>
        <v>0.732</v>
      </c>
      <c r="L34" s="153"/>
      <c r="M34" s="149">
        <f t="shared" si="6"/>
        <v>4948.861761794787</v>
      </c>
      <c r="N34" s="149">
        <f t="shared" si="6"/>
        <v>5103.189493433396</v>
      </c>
      <c r="O34" s="149"/>
      <c r="P34" s="149">
        <f>F34/K34</f>
        <v>3825.136612021858</v>
      </c>
      <c r="Q34" s="149"/>
      <c r="R34" s="150">
        <f>S34+T34+U34+V34</f>
        <v>14.34720229555237</v>
      </c>
      <c r="S34" s="148">
        <f>D34/C37*100</f>
        <v>13.008130081300814</v>
      </c>
      <c r="T34" s="148"/>
      <c r="U34" s="148">
        <f>F34/C37*100</f>
        <v>1.3390722142515543</v>
      </c>
      <c r="V34" s="173">
        <f>G34/C37*100</f>
        <v>0</v>
      </c>
      <c r="W34" s="181"/>
      <c r="X34" s="181"/>
      <c r="Y34" s="181"/>
      <c r="Z34" s="181"/>
      <c r="AA34" s="143" t="s">
        <v>44</v>
      </c>
      <c r="AB34" s="144" t="s">
        <v>116</v>
      </c>
      <c r="AC34" s="157">
        <f>AD34+AE34+AF34+AG34</f>
        <v>30000</v>
      </c>
      <c r="AD34" s="157">
        <f>30000-AF34</f>
        <v>27200</v>
      </c>
      <c r="AE34" s="148"/>
      <c r="AF34" s="149">
        <v>2800</v>
      </c>
      <c r="AG34" s="157"/>
      <c r="AH34" s="153">
        <f>AI34+AJ34+AK34+AL34</f>
        <v>4.896607431340873</v>
      </c>
      <c r="AI34" s="153">
        <f>I34/1.238</f>
        <v>4.305331179321486</v>
      </c>
      <c r="AJ34" s="153"/>
      <c r="AK34" s="153">
        <f>K34/1.238</f>
        <v>0.591276252019386</v>
      </c>
      <c r="AL34" s="153"/>
      <c r="AM34" s="149">
        <f t="shared" si="7"/>
        <v>6126.690861101946</v>
      </c>
      <c r="AN34" s="149">
        <f t="shared" si="7"/>
        <v>6317.748592870544</v>
      </c>
      <c r="AO34" s="149"/>
      <c r="AP34" s="149">
        <f>AF34/AK34</f>
        <v>4735.51912568306</v>
      </c>
      <c r="AQ34" s="149"/>
      <c r="AR34" s="150">
        <f>AS34+AT34+AU34+AV34</f>
        <v>14.34720229555237</v>
      </c>
      <c r="AS34" s="148">
        <f>AD34/AC37*100</f>
        <v>13.008130081300814</v>
      </c>
      <c r="AT34" s="148"/>
      <c r="AU34" s="148">
        <f>AF34/AC37*100</f>
        <v>1.3390722142515543</v>
      </c>
      <c r="AV34" s="149">
        <f>AG34/AC37*100</f>
        <v>0</v>
      </c>
    </row>
    <row r="35" spans="1:48" ht="15.75" customHeight="1" hidden="1">
      <c r="A35" s="143" t="s">
        <v>117</v>
      </c>
      <c r="B35" s="160" t="s">
        <v>118</v>
      </c>
      <c r="C35" s="157">
        <f>D35+E35+F35+G35</f>
        <v>119100</v>
      </c>
      <c r="D35" s="157">
        <f>119100-F35</f>
        <v>118900</v>
      </c>
      <c r="E35" s="157"/>
      <c r="F35" s="157">
        <v>200</v>
      </c>
      <c r="G35" s="164"/>
      <c r="H35" s="158">
        <f>I35+J35+K35+L35</f>
        <v>20.986</v>
      </c>
      <c r="I35" s="158">
        <f>20.986-K35</f>
        <v>20.95</v>
      </c>
      <c r="J35" s="158"/>
      <c r="K35" s="158">
        <v>0.036</v>
      </c>
      <c r="L35" s="153"/>
      <c r="M35" s="149">
        <f t="shared" si="6"/>
        <v>5675.212046125988</v>
      </c>
      <c r="N35" s="149">
        <f t="shared" si="6"/>
        <v>5675.417661097852</v>
      </c>
      <c r="O35" s="149"/>
      <c r="P35" s="149">
        <f>F35/K35</f>
        <v>5555.555555555556</v>
      </c>
      <c r="Q35" s="149"/>
      <c r="R35" s="150">
        <f>S35+T35+U35+V35</f>
        <v>56.95839311334289</v>
      </c>
      <c r="S35" s="148">
        <f>D35/C37*100</f>
        <v>56.86274509803921</v>
      </c>
      <c r="T35" s="148"/>
      <c r="U35" s="148">
        <f>F35/C37*100</f>
        <v>0.09564801530368246</v>
      </c>
      <c r="V35" s="173"/>
      <c r="W35" s="181"/>
      <c r="X35" s="181"/>
      <c r="Y35" s="181"/>
      <c r="Z35" s="181"/>
      <c r="AA35" s="143" t="s">
        <v>117</v>
      </c>
      <c r="AB35" s="160" t="s">
        <v>118</v>
      </c>
      <c r="AC35" s="157">
        <f>AD35+AE35+AF35+AG35</f>
        <v>119100</v>
      </c>
      <c r="AD35" s="157">
        <f>119100-AF35</f>
        <v>118900</v>
      </c>
      <c r="AE35" s="157"/>
      <c r="AF35" s="157">
        <v>200</v>
      </c>
      <c r="AG35" s="164"/>
      <c r="AH35" s="153">
        <f>AI35+AJ35+AK35+AL35</f>
        <v>16.951534733441033</v>
      </c>
      <c r="AI35" s="153">
        <f>I35/1.238</f>
        <v>16.922455573505655</v>
      </c>
      <c r="AJ35" s="153"/>
      <c r="AK35" s="153">
        <f>K35/1.238</f>
        <v>0.029079159935379642</v>
      </c>
      <c r="AL35" s="153"/>
      <c r="AM35" s="149">
        <f t="shared" si="7"/>
        <v>7025.912513103975</v>
      </c>
      <c r="AN35" s="149">
        <f t="shared" si="7"/>
        <v>7026.167064439141</v>
      </c>
      <c r="AO35" s="149"/>
      <c r="AP35" s="149">
        <f>AF35/AK35</f>
        <v>6877.777777777778</v>
      </c>
      <c r="AQ35" s="149"/>
      <c r="AR35" s="150">
        <f>AS35+AT35+AU35+AV35</f>
        <v>56.95839311334289</v>
      </c>
      <c r="AS35" s="148">
        <f>AD35/AC37*100</f>
        <v>56.86274509803921</v>
      </c>
      <c r="AT35" s="148"/>
      <c r="AU35" s="148">
        <f>AF35/AC37*100</f>
        <v>0.09564801530368246</v>
      </c>
      <c r="AV35" s="149"/>
    </row>
    <row r="36" spans="1:48" ht="15.75" customHeight="1" hidden="1">
      <c r="A36" s="165"/>
      <c r="B36" s="144"/>
      <c r="C36" s="157"/>
      <c r="D36" s="157"/>
      <c r="E36" s="148"/>
      <c r="F36" s="149"/>
      <c r="G36" s="157"/>
      <c r="H36" s="154"/>
      <c r="I36" s="167"/>
      <c r="J36" s="167"/>
      <c r="K36" s="154"/>
      <c r="L36" s="154"/>
      <c r="M36" s="149"/>
      <c r="N36" s="149"/>
      <c r="O36" s="149"/>
      <c r="P36" s="149"/>
      <c r="Q36" s="149"/>
      <c r="R36" s="150"/>
      <c r="S36" s="148"/>
      <c r="T36" s="148"/>
      <c r="U36" s="148"/>
      <c r="V36" s="173"/>
      <c r="W36" s="181"/>
      <c r="X36" s="181"/>
      <c r="Y36" s="181"/>
      <c r="Z36" s="181"/>
      <c r="AA36" s="165"/>
      <c r="AB36" s="144"/>
      <c r="AC36" s="157"/>
      <c r="AD36" s="157"/>
      <c r="AE36" s="148"/>
      <c r="AF36" s="149"/>
      <c r="AG36" s="157"/>
      <c r="AH36" s="154"/>
      <c r="AI36" s="158"/>
      <c r="AJ36" s="167"/>
      <c r="AK36" s="154"/>
      <c r="AL36" s="154"/>
      <c r="AM36" s="149"/>
      <c r="AN36" s="149"/>
      <c r="AO36" s="149"/>
      <c r="AP36" s="149"/>
      <c r="AQ36" s="149"/>
      <c r="AR36" s="150"/>
      <c r="AS36" s="148"/>
      <c r="AT36" s="148"/>
      <c r="AU36" s="148"/>
      <c r="AV36" s="149"/>
    </row>
    <row r="37" spans="1:48" ht="15.75" customHeight="1" hidden="1">
      <c r="A37" s="143"/>
      <c r="B37" s="162" t="s">
        <v>119</v>
      </c>
      <c r="C37" s="157">
        <f>SUM(C31:C36)</f>
        <v>209100</v>
      </c>
      <c r="D37" s="157">
        <f>SUM(D31:D36)</f>
        <v>206100</v>
      </c>
      <c r="E37" s="148"/>
      <c r="F37" s="149">
        <f>SUM(F31:F36)</f>
        <v>3000</v>
      </c>
      <c r="G37" s="157">
        <f>SUM(G31:G36)</f>
        <v>0</v>
      </c>
      <c r="H37" s="153">
        <f>SUM(H31:H36)</f>
        <v>41.935</v>
      </c>
      <c r="I37" s="166">
        <f>SUM(I31:I36)</f>
        <v>41.167</v>
      </c>
      <c r="J37" s="154"/>
      <c r="K37" s="153">
        <f>SUM(K31:K36)</f>
        <v>0.768</v>
      </c>
      <c r="L37" s="149">
        <f>SUM(L31:L36)</f>
        <v>0</v>
      </c>
      <c r="M37" s="149">
        <f>C37/H37</f>
        <v>4986.288303326576</v>
      </c>
      <c r="N37" s="149">
        <f>D37/I37</f>
        <v>5006.437194840528</v>
      </c>
      <c r="O37" s="149"/>
      <c r="P37" s="149">
        <f>F37/K37</f>
        <v>3906.25</v>
      </c>
      <c r="Q37" s="149"/>
      <c r="R37" s="150">
        <f>SUM(R31:R36)</f>
        <v>100</v>
      </c>
      <c r="S37" s="150">
        <f>SUM(S31:S36)</f>
        <v>98.56527977044476</v>
      </c>
      <c r="T37" s="150"/>
      <c r="U37" s="150">
        <f>SUM(U31:U36)</f>
        <v>1.4347202295552368</v>
      </c>
      <c r="V37" s="172">
        <f>SUM(V31:V36)</f>
        <v>0</v>
      </c>
      <c r="W37" s="181"/>
      <c r="X37" s="181"/>
      <c r="Y37" s="181"/>
      <c r="Z37" s="181"/>
      <c r="AA37" s="143"/>
      <c r="AB37" s="162" t="s">
        <v>119</v>
      </c>
      <c r="AC37" s="157">
        <f>SUM(AC31:AC36)</f>
        <v>209100</v>
      </c>
      <c r="AD37" s="157">
        <f>SUM(AD31:AD36)</f>
        <v>206100</v>
      </c>
      <c r="AE37" s="148"/>
      <c r="AF37" s="149">
        <f>SUM(AF31:AF36)</f>
        <v>3000</v>
      </c>
      <c r="AG37" s="157">
        <f>SUM(AG31:AG36)</f>
        <v>0</v>
      </c>
      <c r="AH37" s="153">
        <f>SUM(AH31:AH36)</f>
        <v>33.87318255250403</v>
      </c>
      <c r="AI37" s="153">
        <f>SUM(AI31:AI36)</f>
        <v>33.25282714054927</v>
      </c>
      <c r="AJ37" s="154"/>
      <c r="AK37" s="153">
        <f>SUM(AK31:AK36)</f>
        <v>0.6203554119547657</v>
      </c>
      <c r="AL37" s="149">
        <f>SUM(AL31:AL36)</f>
        <v>0</v>
      </c>
      <c r="AM37" s="149">
        <f>AC37/AH37</f>
        <v>6173.024919518303</v>
      </c>
      <c r="AN37" s="149">
        <f>AD37/AI37</f>
        <v>6197.9692472125735</v>
      </c>
      <c r="AO37" s="149"/>
      <c r="AP37" s="149">
        <f>AF37/AK37</f>
        <v>4835.9375</v>
      </c>
      <c r="AQ37" s="149"/>
      <c r="AR37" s="150">
        <f>SUM(AR31:AR36)</f>
        <v>100</v>
      </c>
      <c r="AS37" s="150">
        <f>SUM(AS31:AS36)</f>
        <v>98.56527977044476</v>
      </c>
      <c r="AT37" s="150"/>
      <c r="AU37" s="150">
        <f>SUM(AU31:AU36)</f>
        <v>1.4347202295552368</v>
      </c>
      <c r="AV37" s="163">
        <f>SUM(AV31:AV36)</f>
        <v>0</v>
      </c>
    </row>
    <row r="38" spans="1:48" ht="15.75" customHeight="1" hidden="1">
      <c r="A38" s="205" t="s">
        <v>124</v>
      </c>
      <c r="B38" s="206"/>
      <c r="C38" s="206"/>
      <c r="D38" s="206"/>
      <c r="E38" s="206"/>
      <c r="F38" s="206"/>
      <c r="G38" s="206"/>
      <c r="H38" s="206"/>
      <c r="I38" s="206"/>
      <c r="J38" s="206"/>
      <c r="K38" s="206"/>
      <c r="L38" s="206"/>
      <c r="M38" s="206"/>
      <c r="N38" s="206"/>
      <c r="O38" s="206"/>
      <c r="P38" s="206"/>
      <c r="Q38" s="206"/>
      <c r="R38" s="206"/>
      <c r="S38" s="206"/>
      <c r="T38" s="206"/>
      <c r="U38" s="206"/>
      <c r="V38" s="207"/>
      <c r="W38" s="183"/>
      <c r="X38" s="183"/>
      <c r="Y38" s="183"/>
      <c r="Z38" s="183"/>
      <c r="AA38" s="205" t="s">
        <v>124</v>
      </c>
      <c r="AB38" s="206"/>
      <c r="AC38" s="206"/>
      <c r="AD38" s="206"/>
      <c r="AE38" s="206"/>
      <c r="AF38" s="206"/>
      <c r="AG38" s="206"/>
      <c r="AH38" s="206"/>
      <c r="AI38" s="206"/>
      <c r="AJ38" s="206"/>
      <c r="AK38" s="206"/>
      <c r="AL38" s="206"/>
      <c r="AM38" s="206"/>
      <c r="AN38" s="206"/>
      <c r="AO38" s="206"/>
      <c r="AP38" s="206"/>
      <c r="AQ38" s="206"/>
      <c r="AR38" s="206"/>
      <c r="AS38" s="206"/>
      <c r="AT38" s="206"/>
      <c r="AU38" s="206"/>
      <c r="AV38" s="207"/>
    </row>
    <row r="39" spans="1:48" ht="15.75" customHeight="1" hidden="1">
      <c r="A39" s="143" t="s">
        <v>41</v>
      </c>
      <c r="B39" s="144" t="s">
        <v>113</v>
      </c>
      <c r="C39" s="148"/>
      <c r="D39" s="148"/>
      <c r="E39" s="148"/>
      <c r="F39" s="148"/>
      <c r="G39" s="152"/>
      <c r="H39" s="154"/>
      <c r="I39" s="154"/>
      <c r="J39" s="154"/>
      <c r="K39" s="154"/>
      <c r="L39" s="154"/>
      <c r="M39" s="149"/>
      <c r="N39" s="149"/>
      <c r="O39" s="149"/>
      <c r="P39" s="149"/>
      <c r="Q39" s="149"/>
      <c r="R39" s="150"/>
      <c r="S39" s="148"/>
      <c r="T39" s="148"/>
      <c r="U39" s="148"/>
      <c r="V39" s="152"/>
      <c r="W39" s="180"/>
      <c r="X39" s="180"/>
      <c r="Y39" s="180"/>
      <c r="Z39" s="180"/>
      <c r="AA39" s="143" t="s">
        <v>41</v>
      </c>
      <c r="AB39" s="144" t="s">
        <v>113</v>
      </c>
      <c r="AC39" s="148"/>
      <c r="AD39" s="148"/>
      <c r="AE39" s="148"/>
      <c r="AF39" s="148"/>
      <c r="AG39" s="152"/>
      <c r="AH39" s="154"/>
      <c r="AI39" s="154"/>
      <c r="AJ39" s="154"/>
      <c r="AK39" s="154"/>
      <c r="AL39" s="154"/>
      <c r="AM39" s="149"/>
      <c r="AN39" s="149"/>
      <c r="AO39" s="149"/>
      <c r="AP39" s="149"/>
      <c r="AQ39" s="149"/>
      <c r="AR39" s="150"/>
      <c r="AS39" s="148"/>
      <c r="AT39" s="148"/>
      <c r="AU39" s="148"/>
      <c r="AV39" s="148"/>
    </row>
    <row r="40" spans="1:48" ht="15.75" customHeight="1" hidden="1">
      <c r="A40" s="143" t="s">
        <v>42</v>
      </c>
      <c r="B40" s="144" t="s">
        <v>114</v>
      </c>
      <c r="C40" s="157"/>
      <c r="D40" s="157"/>
      <c r="E40" s="148"/>
      <c r="F40" s="148"/>
      <c r="G40" s="152"/>
      <c r="H40" s="153"/>
      <c r="I40" s="166"/>
      <c r="J40" s="154"/>
      <c r="K40" s="154"/>
      <c r="L40" s="154"/>
      <c r="M40" s="149"/>
      <c r="N40" s="149"/>
      <c r="O40" s="149"/>
      <c r="P40" s="149"/>
      <c r="Q40" s="149"/>
      <c r="R40" s="150"/>
      <c r="S40" s="148"/>
      <c r="T40" s="148"/>
      <c r="U40" s="148"/>
      <c r="V40" s="152"/>
      <c r="W40" s="180"/>
      <c r="X40" s="180"/>
      <c r="Y40" s="180"/>
      <c r="Z40" s="180"/>
      <c r="AA40" s="143" t="s">
        <v>42</v>
      </c>
      <c r="AB40" s="144" t="s">
        <v>114</v>
      </c>
      <c r="AC40" s="157"/>
      <c r="AD40" s="157"/>
      <c r="AE40" s="148"/>
      <c r="AF40" s="148"/>
      <c r="AG40" s="152"/>
      <c r="AH40" s="153"/>
      <c r="AI40" s="153"/>
      <c r="AJ40" s="154"/>
      <c r="AK40" s="154"/>
      <c r="AL40" s="154"/>
      <c r="AM40" s="149"/>
      <c r="AN40" s="149"/>
      <c r="AO40" s="149"/>
      <c r="AP40" s="149"/>
      <c r="AQ40" s="149"/>
      <c r="AR40" s="150"/>
      <c r="AS40" s="148"/>
      <c r="AT40" s="148"/>
      <c r="AU40" s="148"/>
      <c r="AV40" s="148"/>
    </row>
    <row r="41" spans="1:48" ht="15.75" customHeight="1" hidden="1">
      <c r="A41" s="143" t="s">
        <v>43</v>
      </c>
      <c r="B41" s="144" t="s">
        <v>121</v>
      </c>
      <c r="C41" s="157">
        <f>D41+E41+F41+G41</f>
        <v>60500</v>
      </c>
      <c r="D41" s="148">
        <v>60500</v>
      </c>
      <c r="E41" s="149"/>
      <c r="F41" s="157"/>
      <c r="G41" s="157"/>
      <c r="H41" s="158">
        <f>I41+J41+K41+L41</f>
        <v>14.886999999999999</v>
      </c>
      <c r="I41" s="158">
        <f>15.187-K41-0.3</f>
        <v>14.886999999999999</v>
      </c>
      <c r="J41" s="158"/>
      <c r="K41" s="158"/>
      <c r="L41" s="154"/>
      <c r="M41" s="149">
        <f aca="true" t="shared" si="8" ref="M41:N43">C41/H41</f>
        <v>4063.9484113656213</v>
      </c>
      <c r="N41" s="149">
        <f t="shared" si="8"/>
        <v>4063.9484113656213</v>
      </c>
      <c r="O41" s="149"/>
      <c r="P41" s="149"/>
      <c r="Q41" s="149"/>
      <c r="R41" s="150">
        <f>S41+T41+U41+V41</f>
        <v>28.661439704384488</v>
      </c>
      <c r="S41" s="148">
        <f>D41/C45*100</f>
        <v>28.661439704384488</v>
      </c>
      <c r="T41" s="148"/>
      <c r="U41" s="148">
        <f>F41/C45*100</f>
        <v>0</v>
      </c>
      <c r="V41" s="173">
        <f>G41/C45*100</f>
        <v>0</v>
      </c>
      <c r="W41" s="181"/>
      <c r="X41" s="181"/>
      <c r="Y41" s="181"/>
      <c r="Z41" s="181"/>
      <c r="AA41" s="143" t="s">
        <v>43</v>
      </c>
      <c r="AB41" s="144" t="s">
        <v>121</v>
      </c>
      <c r="AC41" s="157">
        <f>AD41+AE41+AF41+AG41</f>
        <v>60500</v>
      </c>
      <c r="AD41" s="148">
        <v>60500</v>
      </c>
      <c r="AE41" s="149"/>
      <c r="AF41" s="157"/>
      <c r="AG41" s="157"/>
      <c r="AH41" s="153">
        <f>AI41+AJ41+AK41+AL41</f>
        <v>12.025040387722132</v>
      </c>
      <c r="AI41" s="153">
        <f>I41/1.238</f>
        <v>12.025040387722132</v>
      </c>
      <c r="AJ41" s="153"/>
      <c r="AK41" s="153">
        <f>K41/1.238</f>
        <v>0</v>
      </c>
      <c r="AL41" s="154"/>
      <c r="AM41" s="149">
        <f aca="true" t="shared" si="9" ref="AM41:AN43">AC41/AH41</f>
        <v>5031.1681332706385</v>
      </c>
      <c r="AN41" s="149">
        <f t="shared" si="9"/>
        <v>5031.1681332706385</v>
      </c>
      <c r="AO41" s="149"/>
      <c r="AP41" s="149"/>
      <c r="AQ41" s="149"/>
      <c r="AR41" s="150">
        <f>AS41+AT41+AU41+AV41</f>
        <v>28.661439704384488</v>
      </c>
      <c r="AS41" s="148">
        <f>AD41/AC45*100</f>
        <v>28.661439704384488</v>
      </c>
      <c r="AT41" s="148"/>
      <c r="AU41" s="148">
        <f>AF41/AC45*100</f>
        <v>0</v>
      </c>
      <c r="AV41" s="149">
        <f>AG41/AC45*100</f>
        <v>0</v>
      </c>
    </row>
    <row r="42" spans="1:48" ht="15.75" customHeight="1" hidden="1">
      <c r="A42" s="143" t="s">
        <v>44</v>
      </c>
      <c r="B42" s="144" t="s">
        <v>116</v>
      </c>
      <c r="C42" s="157">
        <f>D42+E42+F42+G42</f>
        <v>30585</v>
      </c>
      <c r="D42" s="157">
        <f>30585-F42</f>
        <v>27570</v>
      </c>
      <c r="E42" s="148"/>
      <c r="F42" s="149">
        <v>3015</v>
      </c>
      <c r="G42" s="157"/>
      <c r="H42" s="158">
        <f>I42+J42+K42+L42</f>
        <v>6.062</v>
      </c>
      <c r="I42" s="158">
        <f>4.96+0.298+0.072</f>
        <v>5.33</v>
      </c>
      <c r="J42" s="158"/>
      <c r="K42" s="158">
        <f>0.3+0.432</f>
        <v>0.732</v>
      </c>
      <c r="L42" s="153"/>
      <c r="M42" s="149">
        <f t="shared" si="8"/>
        <v>5045.364566149785</v>
      </c>
      <c r="N42" s="149">
        <f t="shared" si="8"/>
        <v>5172.607879924953</v>
      </c>
      <c r="O42" s="149"/>
      <c r="P42" s="149">
        <f>F42/K42</f>
        <v>4118.852459016393</v>
      </c>
      <c r="Q42" s="149"/>
      <c r="R42" s="150">
        <f>S42+T42+U42+V42</f>
        <v>14.48942369187768</v>
      </c>
      <c r="S42" s="148">
        <f>D42/C45*100</f>
        <v>13.061089134708768</v>
      </c>
      <c r="T42" s="148"/>
      <c r="U42" s="148">
        <f>F42/C45*100</f>
        <v>1.428334557168913</v>
      </c>
      <c r="V42" s="173">
        <f>G42/C45*100</f>
        <v>0</v>
      </c>
      <c r="W42" s="181"/>
      <c r="X42" s="181"/>
      <c r="Y42" s="181"/>
      <c r="Z42" s="181"/>
      <c r="AA42" s="143" t="s">
        <v>44</v>
      </c>
      <c r="AB42" s="144" t="s">
        <v>116</v>
      </c>
      <c r="AC42" s="157">
        <f>AD42+AE42+AF42+AG42</f>
        <v>30585</v>
      </c>
      <c r="AD42" s="157">
        <f>30585-AF42</f>
        <v>27570</v>
      </c>
      <c r="AE42" s="148"/>
      <c r="AF42" s="149">
        <v>3015</v>
      </c>
      <c r="AG42" s="157"/>
      <c r="AH42" s="153">
        <f>AI42+AJ42+AK42+AL42</f>
        <v>4.896607431340873</v>
      </c>
      <c r="AI42" s="153">
        <f>I42/1.238</f>
        <v>4.305331179321486</v>
      </c>
      <c r="AJ42" s="153"/>
      <c r="AK42" s="153">
        <f>K42/1.238</f>
        <v>0.591276252019386</v>
      </c>
      <c r="AL42" s="153"/>
      <c r="AM42" s="149">
        <f t="shared" si="9"/>
        <v>6246.161332893434</v>
      </c>
      <c r="AN42" s="149">
        <f t="shared" si="9"/>
        <v>6403.688555347092</v>
      </c>
      <c r="AO42" s="149"/>
      <c r="AP42" s="149">
        <f>AF42/AK42</f>
        <v>5099.139344262296</v>
      </c>
      <c r="AQ42" s="149"/>
      <c r="AR42" s="150">
        <f>AS42+AT42+AU42+AV42</f>
        <v>14.48942369187768</v>
      </c>
      <c r="AS42" s="148">
        <f>AD42/AC45*100</f>
        <v>13.061089134708768</v>
      </c>
      <c r="AT42" s="148"/>
      <c r="AU42" s="148">
        <f>AF42/AC45*100</f>
        <v>1.428334557168913</v>
      </c>
      <c r="AV42" s="149">
        <f>AG42/AC45*100</f>
        <v>0</v>
      </c>
    </row>
    <row r="43" spans="1:48" ht="15.75" customHeight="1" hidden="1">
      <c r="A43" s="143" t="s">
        <v>117</v>
      </c>
      <c r="B43" s="160" t="s">
        <v>118</v>
      </c>
      <c r="C43" s="157">
        <f>D43+E43+F43+G43</f>
        <v>120000</v>
      </c>
      <c r="D43" s="157">
        <f>120000-F43</f>
        <v>119800</v>
      </c>
      <c r="E43" s="157"/>
      <c r="F43" s="157">
        <v>200</v>
      </c>
      <c r="G43" s="164"/>
      <c r="H43" s="158">
        <f>I43+J43+K43+L43</f>
        <v>20.986</v>
      </c>
      <c r="I43" s="158">
        <f>20.986-K43</f>
        <v>20.95</v>
      </c>
      <c r="J43" s="158"/>
      <c r="K43" s="158">
        <v>0.036</v>
      </c>
      <c r="L43" s="153"/>
      <c r="M43" s="149">
        <f t="shared" si="8"/>
        <v>5718.097779472028</v>
      </c>
      <c r="N43" s="149">
        <f t="shared" si="8"/>
        <v>5718.377088305489</v>
      </c>
      <c r="O43" s="149"/>
      <c r="P43" s="149">
        <f>F43/K43</f>
        <v>5555.555555555556</v>
      </c>
      <c r="Q43" s="149"/>
      <c r="R43" s="150">
        <f>S43+T43+U43+V43</f>
        <v>56.849136603737826</v>
      </c>
      <c r="S43" s="148">
        <f>D43/C45*100</f>
        <v>56.7543880427316</v>
      </c>
      <c r="T43" s="148"/>
      <c r="U43" s="148">
        <f>F43/C45*100</f>
        <v>0.09474856100622972</v>
      </c>
      <c r="V43" s="173"/>
      <c r="W43" s="181"/>
      <c r="X43" s="181"/>
      <c r="Y43" s="181"/>
      <c r="Z43" s="181"/>
      <c r="AA43" s="143" t="s">
        <v>117</v>
      </c>
      <c r="AB43" s="160" t="s">
        <v>118</v>
      </c>
      <c r="AC43" s="157">
        <f>AD43+AE43+AF43+AG43</f>
        <v>120000</v>
      </c>
      <c r="AD43" s="157">
        <f>120000-AF43</f>
        <v>119800</v>
      </c>
      <c r="AE43" s="157"/>
      <c r="AF43" s="157">
        <v>200</v>
      </c>
      <c r="AG43" s="164"/>
      <c r="AH43" s="153">
        <f>AI43+AJ43+AK43+AL43</f>
        <v>16.951534733441033</v>
      </c>
      <c r="AI43" s="153">
        <f>I43/1.238</f>
        <v>16.922455573505655</v>
      </c>
      <c r="AJ43" s="153"/>
      <c r="AK43" s="153">
        <f>K43/1.238</f>
        <v>0.029079159935379642</v>
      </c>
      <c r="AL43" s="153"/>
      <c r="AM43" s="149">
        <f t="shared" si="9"/>
        <v>7079.005050986372</v>
      </c>
      <c r="AN43" s="149">
        <f t="shared" si="9"/>
        <v>7079.350835322195</v>
      </c>
      <c r="AO43" s="149"/>
      <c r="AP43" s="149">
        <f>AF43/AK43</f>
        <v>6877.777777777778</v>
      </c>
      <c r="AQ43" s="149"/>
      <c r="AR43" s="150">
        <f>AS43+AT43+AU43+AV43</f>
        <v>56.849136603737826</v>
      </c>
      <c r="AS43" s="148">
        <f>AD43/AC45*100</f>
        <v>56.7543880427316</v>
      </c>
      <c r="AT43" s="148"/>
      <c r="AU43" s="148">
        <f>AF43/AC45*100</f>
        <v>0.09474856100622972</v>
      </c>
      <c r="AV43" s="149"/>
    </row>
    <row r="44" spans="1:48" ht="15.75" customHeight="1" hidden="1">
      <c r="A44" s="165"/>
      <c r="B44" s="144"/>
      <c r="C44" s="157"/>
      <c r="D44" s="157"/>
      <c r="E44" s="148"/>
      <c r="F44" s="149"/>
      <c r="G44" s="157"/>
      <c r="H44" s="154"/>
      <c r="I44" s="167"/>
      <c r="J44" s="167"/>
      <c r="K44" s="154"/>
      <c r="L44" s="154"/>
      <c r="M44" s="149"/>
      <c r="N44" s="149"/>
      <c r="O44" s="149"/>
      <c r="P44" s="149"/>
      <c r="Q44" s="149"/>
      <c r="R44" s="150"/>
      <c r="S44" s="148"/>
      <c r="T44" s="148"/>
      <c r="U44" s="148"/>
      <c r="V44" s="173"/>
      <c r="W44" s="181"/>
      <c r="X44" s="181"/>
      <c r="Y44" s="181"/>
      <c r="Z44" s="181"/>
      <c r="AA44" s="165"/>
      <c r="AB44" s="144"/>
      <c r="AC44" s="157"/>
      <c r="AD44" s="157"/>
      <c r="AE44" s="148"/>
      <c r="AF44" s="149"/>
      <c r="AG44" s="157"/>
      <c r="AH44" s="154"/>
      <c r="AI44" s="158"/>
      <c r="AJ44" s="167"/>
      <c r="AK44" s="154"/>
      <c r="AL44" s="154"/>
      <c r="AM44" s="149"/>
      <c r="AN44" s="149"/>
      <c r="AO44" s="149"/>
      <c r="AP44" s="149"/>
      <c r="AQ44" s="149"/>
      <c r="AR44" s="150"/>
      <c r="AS44" s="148"/>
      <c r="AT44" s="148"/>
      <c r="AU44" s="148"/>
      <c r="AV44" s="149"/>
    </row>
    <row r="45" spans="1:48" ht="15.75" customHeight="1" hidden="1">
      <c r="A45" s="143"/>
      <c r="B45" s="162" t="s">
        <v>119</v>
      </c>
      <c r="C45" s="157">
        <f>SUM(C39:C44)</f>
        <v>211085</v>
      </c>
      <c r="D45" s="157">
        <f>SUM(D39:D44)</f>
        <v>207870</v>
      </c>
      <c r="E45" s="148"/>
      <c r="F45" s="149">
        <f>SUM(F39:F44)</f>
        <v>3215</v>
      </c>
      <c r="G45" s="157">
        <f>SUM(G39:G44)</f>
        <v>0</v>
      </c>
      <c r="H45" s="153">
        <f>SUM(H39:H44)</f>
        <v>41.935</v>
      </c>
      <c r="I45" s="166">
        <f>SUM(I39:I44)</f>
        <v>41.167</v>
      </c>
      <c r="J45" s="154"/>
      <c r="K45" s="153">
        <f>SUM(K39:K44)</f>
        <v>0.768</v>
      </c>
      <c r="L45" s="149">
        <f>SUM(L39:L44)</f>
        <v>0</v>
      </c>
      <c r="M45" s="149">
        <f>C45/H45</f>
        <v>5033.623464886133</v>
      </c>
      <c r="N45" s="149">
        <f>D45/I45</f>
        <v>5049.4327981149945</v>
      </c>
      <c r="O45" s="149"/>
      <c r="P45" s="149">
        <f>F45/K45</f>
        <v>4186.197916666667</v>
      </c>
      <c r="Q45" s="149"/>
      <c r="R45" s="150">
        <f>SUM(R39:R44)</f>
        <v>100</v>
      </c>
      <c r="S45" s="150">
        <f>SUM(S39:S44)</f>
        <v>98.47691688182485</v>
      </c>
      <c r="T45" s="150"/>
      <c r="U45" s="150">
        <f>SUM(U39:U44)</f>
        <v>1.5230831181751427</v>
      </c>
      <c r="V45" s="172">
        <f>SUM(V39:V44)</f>
        <v>0</v>
      </c>
      <c r="W45" s="181"/>
      <c r="X45" s="181"/>
      <c r="Y45" s="181"/>
      <c r="Z45" s="181"/>
      <c r="AA45" s="143"/>
      <c r="AB45" s="162" t="s">
        <v>119</v>
      </c>
      <c r="AC45" s="157">
        <f>SUM(AC39:AC44)</f>
        <v>211085</v>
      </c>
      <c r="AD45" s="157">
        <f>SUM(AD39:AD44)</f>
        <v>207870</v>
      </c>
      <c r="AE45" s="148"/>
      <c r="AF45" s="149">
        <f>SUM(AF39:AF44)</f>
        <v>3215</v>
      </c>
      <c r="AG45" s="157">
        <f>SUM(AG39:AG44)</f>
        <v>0</v>
      </c>
      <c r="AH45" s="153">
        <f>SUM(AH39:AH44)</f>
        <v>33.87318255250403</v>
      </c>
      <c r="AI45" s="153">
        <f>SUM(AI39:AI44)</f>
        <v>33.25282714054927</v>
      </c>
      <c r="AJ45" s="154"/>
      <c r="AK45" s="153">
        <f>SUM(AK39:AK44)</f>
        <v>0.6203554119547657</v>
      </c>
      <c r="AL45" s="149">
        <f>SUM(AL39:AL44)</f>
        <v>0</v>
      </c>
      <c r="AM45" s="149">
        <f>AC45/AH45</f>
        <v>6231.625849529034</v>
      </c>
      <c r="AN45" s="149">
        <f>AD45/AI45</f>
        <v>6251.197804066364</v>
      </c>
      <c r="AO45" s="149"/>
      <c r="AP45" s="149">
        <f>AF45/AK45</f>
        <v>5182.513020833333</v>
      </c>
      <c r="AQ45" s="149"/>
      <c r="AR45" s="150">
        <f>SUM(AR39:AR44)</f>
        <v>100</v>
      </c>
      <c r="AS45" s="150">
        <f>SUM(AS39:AS44)</f>
        <v>98.47691688182485</v>
      </c>
      <c r="AT45" s="150"/>
      <c r="AU45" s="150">
        <f>SUM(AU39:AU44)</f>
        <v>1.5230831181751427</v>
      </c>
      <c r="AV45" s="163">
        <f>SUM(AV39:AV44)</f>
        <v>0</v>
      </c>
    </row>
    <row r="47" spans="2:38" ht="12.75">
      <c r="B47" s="168" t="s">
        <v>125</v>
      </c>
      <c r="L47" s="168"/>
      <c r="M47" s="168" t="s">
        <v>126</v>
      </c>
      <c r="S47" s="168"/>
      <c r="AB47" s="168" t="s">
        <v>125</v>
      </c>
      <c r="AL47" s="168" t="s">
        <v>126</v>
      </c>
    </row>
    <row r="48" spans="2:47" ht="12.75">
      <c r="B48" s="168" t="s">
        <v>127</v>
      </c>
      <c r="C48" s="169"/>
      <c r="D48" s="169"/>
      <c r="E48" s="169"/>
      <c r="L48" s="168"/>
      <c r="M48" s="168" t="s">
        <v>128</v>
      </c>
      <c r="N48" s="169"/>
      <c r="P48" s="169"/>
      <c r="Q48" s="169"/>
      <c r="R48" s="169"/>
      <c r="S48" s="168"/>
      <c r="T48" s="169"/>
      <c r="U48" s="169"/>
      <c r="AB48" s="168" t="s">
        <v>127</v>
      </c>
      <c r="AC48" s="171"/>
      <c r="AD48" s="171"/>
      <c r="AE48" s="171"/>
      <c r="AL48" s="168" t="s">
        <v>128</v>
      </c>
      <c r="AQ48" s="171"/>
      <c r="AR48" s="171"/>
      <c r="AS48" s="171"/>
      <c r="AT48" s="171"/>
      <c r="AU48" s="171"/>
    </row>
    <row r="49" spans="5:28" ht="12.75">
      <c r="E49" s="169"/>
      <c r="P49" s="169"/>
      <c r="Q49" s="169"/>
      <c r="R49" s="169"/>
      <c r="S49" s="169"/>
      <c r="T49" s="169"/>
      <c r="U49" s="169"/>
      <c r="AB49" s="168"/>
    </row>
  </sheetData>
  <sheetProtection/>
  <protectedRanges>
    <protectedRange sqref="F10" name="Диапазон1"/>
    <protectedRange sqref="AF10" name="Диапазон1_2"/>
  </protectedRanges>
  <mergeCells count="24">
    <mergeCell ref="AR4:AV4"/>
    <mergeCell ref="AA22:AV22"/>
    <mergeCell ref="AA30:AV30"/>
    <mergeCell ref="AA38:AV38"/>
    <mergeCell ref="A38:V38"/>
    <mergeCell ref="A22:V22"/>
    <mergeCell ref="A30:V30"/>
    <mergeCell ref="AA6:AV6"/>
    <mergeCell ref="AA14:AV14"/>
    <mergeCell ref="A6:V6"/>
    <mergeCell ref="A14:V14"/>
    <mergeCell ref="AA2:AV2"/>
    <mergeCell ref="AA4:AA5"/>
    <mergeCell ref="AB4:AB5"/>
    <mergeCell ref="AC4:AG4"/>
    <mergeCell ref="AH4:AL4"/>
    <mergeCell ref="AM4:AQ4"/>
    <mergeCell ref="A2:V2"/>
    <mergeCell ref="A4:A5"/>
    <mergeCell ref="B4:B5"/>
    <mergeCell ref="C4:G4"/>
    <mergeCell ref="H4:L4"/>
    <mergeCell ref="M4:Q4"/>
    <mergeCell ref="R4:V4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P57"/>
  <sheetViews>
    <sheetView view="pageBreakPreview" zoomScale="90" zoomScaleNormal="70" zoomScaleSheetLayoutView="90"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M20" sqref="AM20"/>
    </sheetView>
  </sheetViews>
  <sheetFormatPr defaultColWidth="9.125" defaultRowHeight="12.75"/>
  <cols>
    <col min="1" max="1" width="5.50390625" style="2" customWidth="1"/>
    <col min="2" max="2" width="24.125" style="2" customWidth="1"/>
    <col min="3" max="4" width="9.50390625" style="2" customWidth="1"/>
    <col min="5" max="5" width="4.00390625" style="2" customWidth="1"/>
    <col min="6" max="7" width="7.50390625" style="2" customWidth="1"/>
    <col min="8" max="9" width="9.625" style="2" customWidth="1"/>
    <col min="10" max="10" width="4.50390625" style="2" customWidth="1"/>
    <col min="11" max="12" width="7.50390625" style="2" customWidth="1"/>
    <col min="13" max="14" width="9.125" style="2" customWidth="1"/>
    <col min="15" max="15" width="4.50390625" style="2" customWidth="1"/>
    <col min="16" max="17" width="7.50390625" style="2" customWidth="1"/>
    <col min="18" max="19" width="9.375" style="2" customWidth="1"/>
    <col min="20" max="20" width="4.50390625" style="2" customWidth="1"/>
    <col min="21" max="22" width="7.50390625" style="2" customWidth="1"/>
    <col min="23" max="24" width="9.50390625" style="2" customWidth="1"/>
    <col min="25" max="25" width="4.375" style="2" customWidth="1"/>
    <col min="26" max="27" width="7.625" style="2" customWidth="1"/>
    <col min="28" max="29" width="9.50390625" style="2" customWidth="1"/>
    <col min="30" max="30" width="4.00390625" style="2" customWidth="1"/>
    <col min="31" max="32" width="7.50390625" style="2" customWidth="1"/>
    <col min="33" max="34" width="9.625" style="2" customWidth="1"/>
    <col min="35" max="35" width="4.375" style="2" customWidth="1"/>
    <col min="36" max="37" width="7.625" style="2" customWidth="1"/>
    <col min="38" max="39" width="9.625" style="2" customWidth="1"/>
    <col min="40" max="40" width="4.375" style="2" customWidth="1"/>
    <col min="41" max="42" width="7.50390625" style="2" customWidth="1"/>
    <col min="43" max="16384" width="9.125" style="2" customWidth="1"/>
  </cols>
  <sheetData>
    <row r="1" spans="26:27" ht="15">
      <c r="Z1" s="213" t="s">
        <v>36</v>
      </c>
      <c r="AA1" s="213"/>
    </row>
    <row r="2" spans="1:27" ht="18" customHeight="1">
      <c r="A2" s="3"/>
      <c r="B2" s="4"/>
      <c r="C2" s="4"/>
      <c r="D2" s="4"/>
      <c r="E2" s="4"/>
      <c r="F2" s="4"/>
      <c r="G2" s="4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218"/>
      <c r="AA2" s="219"/>
    </row>
    <row r="3" spans="1:27" ht="23.25" customHeight="1">
      <c r="A3" s="214" t="s">
        <v>101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</row>
    <row r="4" spans="1:27" ht="13.5" thickBot="1">
      <c r="A4" s="5"/>
      <c r="B4" s="6"/>
      <c r="C4" s="6"/>
      <c r="D4" s="6"/>
      <c r="E4" s="6"/>
      <c r="F4" s="6"/>
      <c r="G4" s="6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7" t="s">
        <v>0</v>
      </c>
    </row>
    <row r="5" spans="1:42" s="1" customFormat="1" ht="30.75" customHeight="1">
      <c r="A5" s="209" t="s">
        <v>56</v>
      </c>
      <c r="B5" s="216" t="s">
        <v>39</v>
      </c>
      <c r="C5" s="209" t="s">
        <v>68</v>
      </c>
      <c r="D5" s="210"/>
      <c r="E5" s="210"/>
      <c r="F5" s="210"/>
      <c r="G5" s="211"/>
      <c r="H5" s="209" t="s">
        <v>80</v>
      </c>
      <c r="I5" s="210"/>
      <c r="J5" s="210"/>
      <c r="K5" s="210"/>
      <c r="L5" s="211"/>
      <c r="M5" s="209" t="s">
        <v>82</v>
      </c>
      <c r="N5" s="210"/>
      <c r="O5" s="210"/>
      <c r="P5" s="210"/>
      <c r="Q5" s="211"/>
      <c r="R5" s="209" t="s">
        <v>83</v>
      </c>
      <c r="S5" s="210"/>
      <c r="T5" s="210"/>
      <c r="U5" s="210"/>
      <c r="V5" s="211"/>
      <c r="W5" s="209" t="s">
        <v>71</v>
      </c>
      <c r="X5" s="210"/>
      <c r="Y5" s="210"/>
      <c r="Z5" s="210"/>
      <c r="AA5" s="211"/>
      <c r="AB5" s="209" t="s">
        <v>72</v>
      </c>
      <c r="AC5" s="210"/>
      <c r="AD5" s="210"/>
      <c r="AE5" s="210"/>
      <c r="AF5" s="211"/>
      <c r="AG5" s="209" t="s">
        <v>70</v>
      </c>
      <c r="AH5" s="210"/>
      <c r="AI5" s="210"/>
      <c r="AJ5" s="210"/>
      <c r="AK5" s="211"/>
      <c r="AL5" s="209" t="s">
        <v>73</v>
      </c>
      <c r="AM5" s="210"/>
      <c r="AN5" s="210"/>
      <c r="AO5" s="210"/>
      <c r="AP5" s="211"/>
    </row>
    <row r="6" spans="1:42" s="1" customFormat="1" ht="36" customHeight="1" thickBot="1">
      <c r="A6" s="215"/>
      <c r="B6" s="217"/>
      <c r="C6" s="10" t="s">
        <v>40</v>
      </c>
      <c r="D6" s="11" t="s">
        <v>47</v>
      </c>
      <c r="E6" s="11" t="s">
        <v>48</v>
      </c>
      <c r="F6" s="11" t="s">
        <v>49</v>
      </c>
      <c r="G6" s="12" t="s">
        <v>50</v>
      </c>
      <c r="H6" s="10" t="s">
        <v>40</v>
      </c>
      <c r="I6" s="11" t="s">
        <v>47</v>
      </c>
      <c r="J6" s="11" t="s">
        <v>48</v>
      </c>
      <c r="K6" s="11" t="s">
        <v>49</v>
      </c>
      <c r="L6" s="12" t="s">
        <v>50</v>
      </c>
      <c r="M6" s="10" t="s">
        <v>40</v>
      </c>
      <c r="N6" s="11" t="s">
        <v>47</v>
      </c>
      <c r="O6" s="11" t="s">
        <v>48</v>
      </c>
      <c r="P6" s="11" t="s">
        <v>49</v>
      </c>
      <c r="Q6" s="12" t="s">
        <v>50</v>
      </c>
      <c r="R6" s="10" t="s">
        <v>40</v>
      </c>
      <c r="S6" s="11" t="s">
        <v>47</v>
      </c>
      <c r="T6" s="11" t="s">
        <v>48</v>
      </c>
      <c r="U6" s="11" t="s">
        <v>49</v>
      </c>
      <c r="V6" s="12" t="s">
        <v>50</v>
      </c>
      <c r="W6" s="10" t="s">
        <v>40</v>
      </c>
      <c r="X6" s="11" t="s">
        <v>47</v>
      </c>
      <c r="Y6" s="11" t="s">
        <v>48</v>
      </c>
      <c r="Z6" s="11" t="s">
        <v>49</v>
      </c>
      <c r="AA6" s="12" t="s">
        <v>50</v>
      </c>
      <c r="AB6" s="10" t="s">
        <v>40</v>
      </c>
      <c r="AC6" s="11" t="s">
        <v>47</v>
      </c>
      <c r="AD6" s="11" t="s">
        <v>48</v>
      </c>
      <c r="AE6" s="11" t="s">
        <v>49</v>
      </c>
      <c r="AF6" s="12" t="s">
        <v>50</v>
      </c>
      <c r="AG6" s="10" t="s">
        <v>40</v>
      </c>
      <c r="AH6" s="11" t="s">
        <v>47</v>
      </c>
      <c r="AI6" s="11" t="s">
        <v>48</v>
      </c>
      <c r="AJ6" s="11" t="s">
        <v>49</v>
      </c>
      <c r="AK6" s="12" t="s">
        <v>50</v>
      </c>
      <c r="AL6" s="10" t="s">
        <v>40</v>
      </c>
      <c r="AM6" s="11" t="s">
        <v>47</v>
      </c>
      <c r="AN6" s="11" t="s">
        <v>48</v>
      </c>
      <c r="AO6" s="11" t="s">
        <v>49</v>
      </c>
      <c r="AP6" s="12" t="s">
        <v>50</v>
      </c>
    </row>
    <row r="7" spans="1:42" s="17" customFormat="1" ht="13.5" thickBot="1">
      <c r="A7" s="13">
        <v>1</v>
      </c>
      <c r="B7" s="14">
        <v>2</v>
      </c>
      <c r="C7" s="13">
        <v>3</v>
      </c>
      <c r="D7" s="15">
        <v>4</v>
      </c>
      <c r="E7" s="15">
        <v>5</v>
      </c>
      <c r="F7" s="15">
        <v>6</v>
      </c>
      <c r="G7" s="16">
        <v>7</v>
      </c>
      <c r="H7" s="13">
        <v>8</v>
      </c>
      <c r="I7" s="15">
        <v>9</v>
      </c>
      <c r="J7" s="15">
        <v>10</v>
      </c>
      <c r="K7" s="15">
        <v>11</v>
      </c>
      <c r="L7" s="16">
        <v>12</v>
      </c>
      <c r="M7" s="13">
        <v>13</v>
      </c>
      <c r="N7" s="15">
        <v>14</v>
      </c>
      <c r="O7" s="15">
        <v>15</v>
      </c>
      <c r="P7" s="15">
        <v>16</v>
      </c>
      <c r="Q7" s="16">
        <v>17</v>
      </c>
      <c r="R7" s="13">
        <v>18</v>
      </c>
      <c r="S7" s="15">
        <v>19</v>
      </c>
      <c r="T7" s="15">
        <v>20</v>
      </c>
      <c r="U7" s="15">
        <v>21</v>
      </c>
      <c r="V7" s="16">
        <v>22</v>
      </c>
      <c r="W7" s="13"/>
      <c r="X7" s="15"/>
      <c r="Y7" s="15"/>
      <c r="Z7" s="15"/>
      <c r="AA7" s="16"/>
      <c r="AB7" s="13"/>
      <c r="AC7" s="15"/>
      <c r="AD7" s="15"/>
      <c r="AE7" s="15"/>
      <c r="AF7" s="16"/>
      <c r="AG7" s="13"/>
      <c r="AH7" s="15"/>
      <c r="AI7" s="15"/>
      <c r="AJ7" s="15"/>
      <c r="AK7" s="16"/>
      <c r="AL7" s="13"/>
      <c r="AM7" s="15"/>
      <c r="AN7" s="15"/>
      <c r="AO7" s="15"/>
      <c r="AP7" s="16"/>
    </row>
    <row r="8" spans="1:42" s="1" customFormat="1" ht="46.5">
      <c r="A8" s="18" t="s">
        <v>41</v>
      </c>
      <c r="B8" s="19" t="s">
        <v>57</v>
      </c>
      <c r="C8" s="51">
        <f>C18+C20+C21</f>
        <v>202.45489300000003</v>
      </c>
      <c r="D8" s="52">
        <f>D14+D15+D16+D17</f>
        <v>202.454893</v>
      </c>
      <c r="E8" s="52">
        <f>E9+E14+E15+E16+E17</f>
        <v>0</v>
      </c>
      <c r="F8" s="52">
        <f>F9+F14+F15+F16+F17</f>
        <v>2.500555741204323</v>
      </c>
      <c r="G8" s="53">
        <f>G9+G14+G15+G16+G17</f>
        <v>-1.2820886069242476E-05</v>
      </c>
      <c r="H8" s="51">
        <f>H18+H20+H21</f>
        <v>204.5241</v>
      </c>
      <c r="I8" s="52">
        <f>I14+I15+I16+I17</f>
        <v>204.5241</v>
      </c>
      <c r="J8" s="52">
        <f>J9+J14+J15+J16+J17</f>
        <v>0</v>
      </c>
      <c r="K8" s="52">
        <f>K9+K14+K15+K16+K17</f>
        <v>2.5911915199999953</v>
      </c>
      <c r="L8" s="53">
        <f>L9+L14+L15+L16+L17</f>
        <v>-1.842150400443998E-05</v>
      </c>
      <c r="M8" s="51">
        <f>M18+M20+M21</f>
        <v>107.13712</v>
      </c>
      <c r="N8" s="52">
        <f>N14+N15+N16+N17</f>
        <v>107.13712</v>
      </c>
      <c r="O8" s="52">
        <f>O9+O14+O15+O16+O17</f>
        <v>0</v>
      </c>
      <c r="P8" s="52">
        <f>P9+P14+P15+P16+P17</f>
        <v>0.5597299012800079</v>
      </c>
      <c r="Q8" s="53">
        <f>Q9+Q14+Q15+Q16+Q17</f>
        <v>2.740875495155226E-05</v>
      </c>
      <c r="R8" s="51">
        <f>R18+R20+R21</f>
        <v>104.99907999999999</v>
      </c>
      <c r="S8" s="52">
        <f>S14+S15+S16+S17</f>
        <v>104.99908</v>
      </c>
      <c r="T8" s="52">
        <f>T9+T14+T15+T16+T17</f>
        <v>0</v>
      </c>
      <c r="U8" s="52">
        <f>U9+U14+U15+U16+U17</f>
        <v>0.7357418403999958</v>
      </c>
      <c r="V8" s="53">
        <f>V9+V14+V15+V16+V17</f>
        <v>-9.124014003991654E-06</v>
      </c>
      <c r="W8" s="51">
        <f>W18+W20+W21</f>
        <v>212.13620000000003</v>
      </c>
      <c r="X8" s="52">
        <f>X14+X15+X16+X17</f>
        <v>212.1362</v>
      </c>
      <c r="Y8" s="52">
        <f>Y9+Y14+Y15+Y16+Y17</f>
        <v>0</v>
      </c>
      <c r="Z8" s="52">
        <f>Z9+Z14+Z15+Z16+Z17</f>
        <v>1.29564302</v>
      </c>
      <c r="AA8" s="53">
        <f>AA9+AA14+AA15+AA16+AA17</f>
        <v>3.6385695999952006E-05</v>
      </c>
      <c r="AB8" s="106">
        <f>AB18+AB20+AB21</f>
        <v>105.0735</v>
      </c>
      <c r="AC8" s="107">
        <f>AC14+AC15+AC16+AC17</f>
        <v>105.0735</v>
      </c>
      <c r="AD8" s="107">
        <f>AD9+AD14+AD15+AD16+AD17</f>
        <v>0</v>
      </c>
      <c r="AE8" s="107">
        <f>AE9+AE14+AE15+AE16+AE17</f>
        <v>1.432664273499995</v>
      </c>
      <c r="AF8" s="108">
        <f>AF9+AF14+AF15+AF16+AF17</f>
        <v>1.098802999499604E-05</v>
      </c>
      <c r="AG8" s="106">
        <f>AG18+AG20+AG21</f>
        <v>105.1241</v>
      </c>
      <c r="AH8" s="107">
        <f>AH14+AH15+AH16+AH17</f>
        <v>105.1241</v>
      </c>
      <c r="AI8" s="107">
        <f>AI9+AI14+AI15+AI16+AI17</f>
        <v>0</v>
      </c>
      <c r="AJ8" s="107">
        <f>AJ9+AJ14+AJ15+AJ16+AJ17</f>
        <v>1.4245115199999958</v>
      </c>
      <c r="AK8" s="108">
        <f>AK9+AK14+AK15+AK16+AK17</f>
        <v>2.1289599995810704E-05</v>
      </c>
      <c r="AL8" s="106">
        <f>AL18+AL20+AL21</f>
        <v>210.1976</v>
      </c>
      <c r="AM8" s="107">
        <f>AM14+AM15+AM16+AM17</f>
        <v>210.1976</v>
      </c>
      <c r="AN8" s="107">
        <f>AN9+AN14+AN15+AN16+AN17</f>
        <v>0</v>
      </c>
      <c r="AO8" s="107">
        <f>AO9+AO14+AO15+AO16+AO17</f>
        <v>2.8571758187999876</v>
      </c>
      <c r="AP8" s="108">
        <f>AP9+AP14+AP15+AP16+AP17</f>
        <v>3.2302423987662365E-05</v>
      </c>
    </row>
    <row r="9" spans="1:42" s="1" customFormat="1" ht="15">
      <c r="A9" s="20" t="s">
        <v>51</v>
      </c>
      <c r="B9" s="21" t="s">
        <v>58</v>
      </c>
      <c r="C9" s="56" t="s">
        <v>67</v>
      </c>
      <c r="D9" s="57" t="s">
        <v>67</v>
      </c>
      <c r="E9" s="54">
        <f>E11</f>
        <v>0</v>
      </c>
      <c r="F9" s="54">
        <f>F11+F12</f>
        <v>2.500555741204323</v>
      </c>
      <c r="G9" s="55">
        <f>G11+G12+G13</f>
        <v>-1.2820886069242476E-05</v>
      </c>
      <c r="H9" s="56" t="s">
        <v>67</v>
      </c>
      <c r="I9" s="57" t="s">
        <v>67</v>
      </c>
      <c r="J9" s="54">
        <f>J11</f>
        <v>0</v>
      </c>
      <c r="K9" s="54">
        <f>K11+K12</f>
        <v>2.5911915199999953</v>
      </c>
      <c r="L9" s="55">
        <f>L11+L12+L13</f>
        <v>-1.842150400443998E-05</v>
      </c>
      <c r="M9" s="56" t="s">
        <v>67</v>
      </c>
      <c r="N9" s="57" t="s">
        <v>67</v>
      </c>
      <c r="O9" s="54">
        <f>O11</f>
        <v>0</v>
      </c>
      <c r="P9" s="54">
        <f>P11+P12</f>
        <v>0.5597299012800079</v>
      </c>
      <c r="Q9" s="55">
        <f>Q11+Q12+Q13</f>
        <v>2.740875495155226E-05</v>
      </c>
      <c r="R9" s="56" t="s">
        <v>67</v>
      </c>
      <c r="S9" s="57" t="s">
        <v>67</v>
      </c>
      <c r="T9" s="54">
        <f>T11</f>
        <v>0</v>
      </c>
      <c r="U9" s="54">
        <f>U11+U12</f>
        <v>0.7357418403999958</v>
      </c>
      <c r="V9" s="55">
        <f>V11+V12+V13</f>
        <v>-9.124014003991654E-06</v>
      </c>
      <c r="W9" s="56" t="s">
        <v>67</v>
      </c>
      <c r="X9" s="57" t="s">
        <v>67</v>
      </c>
      <c r="Y9" s="54">
        <f>Y11</f>
        <v>0</v>
      </c>
      <c r="Z9" s="54">
        <f>Z11+Z12</f>
        <v>1.29564302</v>
      </c>
      <c r="AA9" s="55">
        <f>AA11+AA12+AA13</f>
        <v>3.6385695999952006E-05</v>
      </c>
      <c r="AB9" s="56" t="s">
        <v>67</v>
      </c>
      <c r="AC9" s="57" t="s">
        <v>67</v>
      </c>
      <c r="AD9" s="109">
        <f>AD11</f>
        <v>0</v>
      </c>
      <c r="AE9" s="109">
        <f>AE11+AE12</f>
        <v>1.432664273499995</v>
      </c>
      <c r="AF9" s="110">
        <f>AF11+AF12+AF13</f>
        <v>1.098802999499604E-05</v>
      </c>
      <c r="AG9" s="56" t="s">
        <v>67</v>
      </c>
      <c r="AH9" s="57" t="s">
        <v>67</v>
      </c>
      <c r="AI9" s="109">
        <f>AI11</f>
        <v>0</v>
      </c>
      <c r="AJ9" s="109">
        <f>AJ11+AJ12</f>
        <v>1.4245115199999958</v>
      </c>
      <c r="AK9" s="110">
        <f>AK11+AK12+AK13</f>
        <v>2.1289599995810704E-05</v>
      </c>
      <c r="AL9" s="56" t="s">
        <v>67</v>
      </c>
      <c r="AM9" s="57" t="s">
        <v>67</v>
      </c>
      <c r="AN9" s="109">
        <f>AN11</f>
        <v>0</v>
      </c>
      <c r="AO9" s="109">
        <f>AO11+AO12</f>
        <v>2.8571758187999876</v>
      </c>
      <c r="AP9" s="110">
        <f>AP11+AP12+AP13</f>
        <v>3.2302423987662365E-05</v>
      </c>
    </row>
    <row r="10" spans="1:42" s="1" customFormat="1" ht="15">
      <c r="A10" s="20"/>
      <c r="B10" s="21" t="s">
        <v>59</v>
      </c>
      <c r="C10" s="56" t="s">
        <v>67</v>
      </c>
      <c r="D10" s="58" t="s">
        <v>67</v>
      </c>
      <c r="E10" s="58" t="s">
        <v>67</v>
      </c>
      <c r="F10" s="58" t="s">
        <v>67</v>
      </c>
      <c r="G10" s="59" t="s">
        <v>67</v>
      </c>
      <c r="H10" s="56" t="s">
        <v>67</v>
      </c>
      <c r="I10" s="58" t="s">
        <v>67</v>
      </c>
      <c r="J10" s="58" t="s">
        <v>67</v>
      </c>
      <c r="K10" s="58" t="s">
        <v>67</v>
      </c>
      <c r="L10" s="59" t="s">
        <v>67</v>
      </c>
      <c r="M10" s="56" t="s">
        <v>67</v>
      </c>
      <c r="N10" s="58" t="s">
        <v>67</v>
      </c>
      <c r="O10" s="58" t="s">
        <v>67</v>
      </c>
      <c r="P10" s="58" t="s">
        <v>67</v>
      </c>
      <c r="Q10" s="59" t="s">
        <v>67</v>
      </c>
      <c r="R10" s="56" t="s">
        <v>67</v>
      </c>
      <c r="S10" s="58" t="s">
        <v>67</v>
      </c>
      <c r="T10" s="58" t="s">
        <v>67</v>
      </c>
      <c r="U10" s="58" t="s">
        <v>67</v>
      </c>
      <c r="V10" s="59" t="s">
        <v>67</v>
      </c>
      <c r="W10" s="56" t="s">
        <v>67</v>
      </c>
      <c r="X10" s="58" t="s">
        <v>67</v>
      </c>
      <c r="Y10" s="58" t="s">
        <v>67</v>
      </c>
      <c r="Z10" s="58" t="s">
        <v>67</v>
      </c>
      <c r="AA10" s="59" t="s">
        <v>67</v>
      </c>
      <c r="AB10" s="56" t="s">
        <v>67</v>
      </c>
      <c r="AC10" s="58" t="s">
        <v>67</v>
      </c>
      <c r="AD10" s="58" t="s">
        <v>67</v>
      </c>
      <c r="AE10" s="58" t="s">
        <v>67</v>
      </c>
      <c r="AF10" s="59" t="s">
        <v>67</v>
      </c>
      <c r="AG10" s="56" t="s">
        <v>67</v>
      </c>
      <c r="AH10" s="58" t="s">
        <v>67</v>
      </c>
      <c r="AI10" s="58" t="s">
        <v>67</v>
      </c>
      <c r="AJ10" s="58" t="s">
        <v>67</v>
      </c>
      <c r="AK10" s="59" t="s">
        <v>67</v>
      </c>
      <c r="AL10" s="56" t="s">
        <v>67</v>
      </c>
      <c r="AM10" s="58" t="s">
        <v>67</v>
      </c>
      <c r="AN10" s="58" t="s">
        <v>67</v>
      </c>
      <c r="AO10" s="58" t="s">
        <v>67</v>
      </c>
      <c r="AP10" s="59" t="s">
        <v>67</v>
      </c>
    </row>
    <row r="11" spans="1:42" s="1" customFormat="1" ht="15">
      <c r="A11" s="20" t="s">
        <v>1</v>
      </c>
      <c r="B11" s="21" t="s">
        <v>47</v>
      </c>
      <c r="C11" s="56" t="s">
        <v>67</v>
      </c>
      <c r="D11" s="60" t="s">
        <v>67</v>
      </c>
      <c r="E11" s="61"/>
      <c r="F11" s="62">
        <f>D8-D18-D20-D21-E11-G11</f>
        <v>2.500555741204323</v>
      </c>
      <c r="G11" s="63"/>
      <c r="H11" s="56" t="s">
        <v>67</v>
      </c>
      <c r="I11" s="60" t="s">
        <v>67</v>
      </c>
      <c r="J11" s="61"/>
      <c r="K11" s="62">
        <f>I8-I18-I20-I21-J11-L11</f>
        <v>2.5911915199999953</v>
      </c>
      <c r="L11" s="63"/>
      <c r="M11" s="56" t="s">
        <v>67</v>
      </c>
      <c r="N11" s="60" t="s">
        <v>67</v>
      </c>
      <c r="O11" s="61"/>
      <c r="P11" s="62">
        <f>N8-N18-N20-N21-O11-Q11</f>
        <v>0.5597299012800079</v>
      </c>
      <c r="Q11" s="63"/>
      <c r="R11" s="56" t="s">
        <v>67</v>
      </c>
      <c r="S11" s="60" t="s">
        <v>67</v>
      </c>
      <c r="T11" s="61"/>
      <c r="U11" s="62">
        <f>S8-S18-S20-S21-T11-V11</f>
        <v>0.7357418403999958</v>
      </c>
      <c r="V11" s="63"/>
      <c r="W11" s="56" t="s">
        <v>67</v>
      </c>
      <c r="X11" s="60" t="s">
        <v>67</v>
      </c>
      <c r="Y11" s="61"/>
      <c r="Z11" s="62">
        <f>X8-X18-X20-X21-Y11-AA11</f>
        <v>1.29564302</v>
      </c>
      <c r="AA11" s="63"/>
      <c r="AB11" s="56" t="s">
        <v>67</v>
      </c>
      <c r="AC11" s="60" t="s">
        <v>67</v>
      </c>
      <c r="AD11" s="61"/>
      <c r="AE11" s="111">
        <f>AC8-AC18-AC20-AC21-AD11-AF11</f>
        <v>1.432664273499995</v>
      </c>
      <c r="AF11" s="63"/>
      <c r="AG11" s="56" t="s">
        <v>67</v>
      </c>
      <c r="AH11" s="60" t="s">
        <v>67</v>
      </c>
      <c r="AI11" s="61"/>
      <c r="AJ11" s="111">
        <f>AH8-AH18-AH20-AH21-AI11-AK11</f>
        <v>1.4245115199999958</v>
      </c>
      <c r="AK11" s="63"/>
      <c r="AL11" s="56" t="s">
        <v>67</v>
      </c>
      <c r="AM11" s="60" t="s">
        <v>67</v>
      </c>
      <c r="AN11" s="61"/>
      <c r="AO11" s="111">
        <f>AM8-AM18-AM20-AM21-AN11-AP11</f>
        <v>2.8571758187999876</v>
      </c>
      <c r="AP11" s="63"/>
    </row>
    <row r="12" spans="1:42" s="1" customFormat="1" ht="15">
      <c r="A12" s="20" t="s">
        <v>2</v>
      </c>
      <c r="B12" s="21" t="s">
        <v>48</v>
      </c>
      <c r="C12" s="56" t="s">
        <v>67</v>
      </c>
      <c r="D12" s="60" t="s">
        <v>67</v>
      </c>
      <c r="E12" s="60" t="s">
        <v>67</v>
      </c>
      <c r="F12" s="62">
        <f>E8-E18-E20-E21-G12</f>
        <v>0</v>
      </c>
      <c r="G12" s="63"/>
      <c r="H12" s="56" t="s">
        <v>67</v>
      </c>
      <c r="I12" s="60" t="s">
        <v>67</v>
      </c>
      <c r="J12" s="60" t="s">
        <v>67</v>
      </c>
      <c r="K12" s="62">
        <f>J8-J18-J20-J21-L12</f>
        <v>0</v>
      </c>
      <c r="L12" s="63"/>
      <c r="M12" s="56" t="s">
        <v>67</v>
      </c>
      <c r="N12" s="60" t="s">
        <v>67</v>
      </c>
      <c r="O12" s="60" t="s">
        <v>67</v>
      </c>
      <c r="P12" s="62">
        <f>O8-O18-O20-O21-Q12</f>
        <v>0</v>
      </c>
      <c r="Q12" s="63"/>
      <c r="R12" s="56" t="s">
        <v>67</v>
      </c>
      <c r="S12" s="60" t="s">
        <v>67</v>
      </c>
      <c r="T12" s="60" t="s">
        <v>67</v>
      </c>
      <c r="U12" s="62">
        <f>T8-T18-T20-T21-V12</f>
        <v>0</v>
      </c>
      <c r="V12" s="63"/>
      <c r="W12" s="56" t="s">
        <v>67</v>
      </c>
      <c r="X12" s="60" t="s">
        <v>67</v>
      </c>
      <c r="Y12" s="60" t="s">
        <v>67</v>
      </c>
      <c r="Z12" s="62">
        <f>Y8-Y18-Y20-Y21-AA12</f>
        <v>0</v>
      </c>
      <c r="AA12" s="63"/>
      <c r="AB12" s="56" t="s">
        <v>67</v>
      </c>
      <c r="AC12" s="60" t="s">
        <v>67</v>
      </c>
      <c r="AD12" s="60" t="s">
        <v>67</v>
      </c>
      <c r="AE12" s="111">
        <f>AD8-AD18-AD20-AD21-AF12</f>
        <v>0</v>
      </c>
      <c r="AF12" s="63"/>
      <c r="AG12" s="56" t="s">
        <v>67</v>
      </c>
      <c r="AH12" s="60" t="s">
        <v>67</v>
      </c>
      <c r="AI12" s="60" t="s">
        <v>67</v>
      </c>
      <c r="AJ12" s="111">
        <f>AI8-AI18-AI20-AI21-AK12</f>
        <v>0</v>
      </c>
      <c r="AK12" s="63"/>
      <c r="AL12" s="56" t="s">
        <v>67</v>
      </c>
      <c r="AM12" s="60" t="s">
        <v>67</v>
      </c>
      <c r="AN12" s="60" t="s">
        <v>67</v>
      </c>
      <c r="AO12" s="111">
        <f>AN8-AN18-AN20-AN21-AP12</f>
        <v>0</v>
      </c>
      <c r="AP12" s="63"/>
    </row>
    <row r="13" spans="1:42" s="1" customFormat="1" ht="15">
      <c r="A13" s="20" t="s">
        <v>3</v>
      </c>
      <c r="B13" s="21" t="s">
        <v>49</v>
      </c>
      <c r="C13" s="56" t="s">
        <v>67</v>
      </c>
      <c r="D13" s="60" t="s">
        <v>67</v>
      </c>
      <c r="E13" s="60" t="s">
        <v>67</v>
      </c>
      <c r="F13" s="60" t="s">
        <v>67</v>
      </c>
      <c r="G13" s="64">
        <f>F8-F18-F20-F21</f>
        <v>-1.2820886069242476E-05</v>
      </c>
      <c r="H13" s="56" t="s">
        <v>67</v>
      </c>
      <c r="I13" s="60" t="s">
        <v>67</v>
      </c>
      <c r="J13" s="60" t="s">
        <v>67</v>
      </c>
      <c r="K13" s="60" t="s">
        <v>67</v>
      </c>
      <c r="L13" s="64">
        <f>K8-K18-K20-K21</f>
        <v>-1.842150400443998E-05</v>
      </c>
      <c r="M13" s="56" t="s">
        <v>67</v>
      </c>
      <c r="N13" s="60" t="s">
        <v>67</v>
      </c>
      <c r="O13" s="60" t="s">
        <v>67</v>
      </c>
      <c r="P13" s="60" t="s">
        <v>67</v>
      </c>
      <c r="Q13" s="64">
        <f>P8-P18-P20-P21</f>
        <v>2.740875495155226E-05</v>
      </c>
      <c r="R13" s="56" t="s">
        <v>67</v>
      </c>
      <c r="S13" s="60" t="s">
        <v>67</v>
      </c>
      <c r="T13" s="60" t="s">
        <v>67</v>
      </c>
      <c r="U13" s="60" t="s">
        <v>67</v>
      </c>
      <c r="V13" s="64">
        <f>U8-U18-U20-U21</f>
        <v>-9.124014003991654E-06</v>
      </c>
      <c r="W13" s="56" t="s">
        <v>67</v>
      </c>
      <c r="X13" s="60" t="s">
        <v>67</v>
      </c>
      <c r="Y13" s="60" t="s">
        <v>67</v>
      </c>
      <c r="Z13" s="60" t="s">
        <v>67</v>
      </c>
      <c r="AA13" s="64">
        <f>Z8-Z18-Z20-Z21</f>
        <v>3.6385695999952006E-05</v>
      </c>
      <c r="AB13" s="56" t="s">
        <v>67</v>
      </c>
      <c r="AC13" s="60" t="s">
        <v>67</v>
      </c>
      <c r="AD13" s="60" t="s">
        <v>67</v>
      </c>
      <c r="AE13" s="60" t="s">
        <v>67</v>
      </c>
      <c r="AF13" s="112">
        <f>AE8-AE18-AE20-AE21</f>
        <v>1.098802999499604E-05</v>
      </c>
      <c r="AG13" s="56" t="s">
        <v>67</v>
      </c>
      <c r="AH13" s="60" t="s">
        <v>67</v>
      </c>
      <c r="AI13" s="60" t="s">
        <v>67</v>
      </c>
      <c r="AJ13" s="60" t="s">
        <v>67</v>
      </c>
      <c r="AK13" s="112">
        <f>AJ8-AJ18-AJ20-AJ21</f>
        <v>2.1289599995810704E-05</v>
      </c>
      <c r="AL13" s="56" t="s">
        <v>67</v>
      </c>
      <c r="AM13" s="60" t="s">
        <v>67</v>
      </c>
      <c r="AN13" s="60" t="s">
        <v>67</v>
      </c>
      <c r="AO13" s="60" t="s">
        <v>67</v>
      </c>
      <c r="AP13" s="112">
        <f>AO8-AO18-AO20-AO21</f>
        <v>3.2302423987662365E-05</v>
      </c>
    </row>
    <row r="14" spans="1:42" s="1" customFormat="1" ht="15">
      <c r="A14" s="20" t="s">
        <v>52</v>
      </c>
      <c r="B14" s="21" t="s">
        <v>6</v>
      </c>
      <c r="C14" s="65">
        <f>SUM(D14:G14)</f>
        <v>0</v>
      </c>
      <c r="D14" s="66"/>
      <c r="E14" s="66"/>
      <c r="F14" s="66"/>
      <c r="G14" s="63"/>
      <c r="H14" s="65">
        <f>SUM(I14:L14)</f>
        <v>0</v>
      </c>
      <c r="I14" s="66"/>
      <c r="J14" s="66"/>
      <c r="K14" s="66"/>
      <c r="L14" s="63"/>
      <c r="M14" s="65">
        <f>SUM(N14:Q14)</f>
        <v>0</v>
      </c>
      <c r="N14" s="66"/>
      <c r="O14" s="66"/>
      <c r="P14" s="66"/>
      <c r="Q14" s="63"/>
      <c r="R14" s="65">
        <f>SUM(S14:V14)</f>
        <v>0</v>
      </c>
      <c r="S14" s="66"/>
      <c r="T14" s="66"/>
      <c r="U14" s="66"/>
      <c r="V14" s="63"/>
      <c r="W14" s="65">
        <f>SUM(X14:AA14)</f>
        <v>0</v>
      </c>
      <c r="X14" s="66"/>
      <c r="Y14" s="66"/>
      <c r="Z14" s="66"/>
      <c r="AA14" s="63"/>
      <c r="AB14" s="113">
        <f>SUM(AC14:AF14)</f>
        <v>0</v>
      </c>
      <c r="AC14" s="66"/>
      <c r="AD14" s="66"/>
      <c r="AE14" s="66"/>
      <c r="AF14" s="63"/>
      <c r="AG14" s="113">
        <f>SUM(AH14:AK14)</f>
        <v>0</v>
      </c>
      <c r="AH14" s="66"/>
      <c r="AI14" s="66"/>
      <c r="AJ14" s="66"/>
      <c r="AK14" s="63"/>
      <c r="AL14" s="113">
        <f>SUM(AM14:AP14)</f>
        <v>0</v>
      </c>
      <c r="AM14" s="66"/>
      <c r="AN14" s="66"/>
      <c r="AO14" s="66"/>
      <c r="AP14" s="63"/>
    </row>
    <row r="15" spans="1:42" s="1" customFormat="1" ht="15">
      <c r="A15" s="20" t="s">
        <v>53</v>
      </c>
      <c r="B15" s="21" t="s">
        <v>26</v>
      </c>
      <c r="C15" s="65">
        <f>SUM(D15:G15)</f>
        <v>0</v>
      </c>
      <c r="D15" s="67"/>
      <c r="E15" s="67"/>
      <c r="F15" s="67"/>
      <c r="G15" s="63"/>
      <c r="H15" s="65">
        <f>SUM(I15:L15)</f>
        <v>0</v>
      </c>
      <c r="I15" s="67"/>
      <c r="J15" s="67"/>
      <c r="K15" s="67"/>
      <c r="L15" s="63"/>
      <c r="M15" s="65">
        <f>SUM(N15:Q15)</f>
        <v>0</v>
      </c>
      <c r="N15" s="67"/>
      <c r="O15" s="67"/>
      <c r="P15" s="67"/>
      <c r="Q15" s="63"/>
      <c r="R15" s="65">
        <f>SUM(S15:V15)</f>
        <v>0</v>
      </c>
      <c r="S15" s="67"/>
      <c r="T15" s="67"/>
      <c r="U15" s="67"/>
      <c r="V15" s="63"/>
      <c r="W15" s="65">
        <f>SUM(X15:AA15)</f>
        <v>0</v>
      </c>
      <c r="X15" s="67"/>
      <c r="Y15" s="67"/>
      <c r="Z15" s="67"/>
      <c r="AA15" s="63"/>
      <c r="AB15" s="113">
        <f>SUM(AC15:AF15)</f>
        <v>0</v>
      </c>
      <c r="AC15" s="67"/>
      <c r="AD15" s="67"/>
      <c r="AE15" s="67"/>
      <c r="AF15" s="63"/>
      <c r="AG15" s="113">
        <f>SUM(AH15:AK15)</f>
        <v>0</v>
      </c>
      <c r="AH15" s="67"/>
      <c r="AI15" s="67"/>
      <c r="AJ15" s="67"/>
      <c r="AK15" s="63"/>
      <c r="AL15" s="113">
        <f>SUM(AM15:AP15)</f>
        <v>0</v>
      </c>
      <c r="AM15" s="67"/>
      <c r="AN15" s="67"/>
      <c r="AO15" s="67"/>
      <c r="AP15" s="63"/>
    </row>
    <row r="16" spans="1:42" s="1" customFormat="1" ht="15">
      <c r="A16" s="20" t="s">
        <v>54</v>
      </c>
      <c r="B16" s="21" t="s">
        <v>27</v>
      </c>
      <c r="C16" s="65">
        <f>SUM(D16:G16)</f>
        <v>202.454893</v>
      </c>
      <c r="D16" s="67">
        <v>202.454893</v>
      </c>
      <c r="E16" s="67"/>
      <c r="F16" s="67"/>
      <c r="G16" s="63"/>
      <c r="H16" s="65">
        <f>SUM(I16:L16)</f>
        <v>204.5241</v>
      </c>
      <c r="I16" s="67">
        <v>204.5241</v>
      </c>
      <c r="J16" s="67"/>
      <c r="K16" s="67"/>
      <c r="L16" s="63"/>
      <c r="M16" s="65">
        <f>SUM(N16:Q16)</f>
        <v>107.13712</v>
      </c>
      <c r="N16" s="67">
        <v>107.13712</v>
      </c>
      <c r="O16" s="67"/>
      <c r="P16" s="67"/>
      <c r="Q16" s="63"/>
      <c r="R16" s="65">
        <f>SUM(S16:V16)</f>
        <v>104.99908</v>
      </c>
      <c r="S16" s="67">
        <v>104.99908</v>
      </c>
      <c r="T16" s="67"/>
      <c r="U16" s="67"/>
      <c r="V16" s="63"/>
      <c r="W16" s="65">
        <f>SUM(X16:AA16)</f>
        <v>212.1362</v>
      </c>
      <c r="X16" s="67">
        <v>212.1362</v>
      </c>
      <c r="Y16" s="67"/>
      <c r="Z16" s="67"/>
      <c r="AA16" s="63"/>
      <c r="AB16" s="113">
        <f>SUM(AC16:AF16)</f>
        <v>105.0735</v>
      </c>
      <c r="AC16" s="67">
        <v>105.0735</v>
      </c>
      <c r="AD16" s="67"/>
      <c r="AE16" s="67"/>
      <c r="AF16" s="63"/>
      <c r="AG16" s="113">
        <f>SUM(AH16:AK16)</f>
        <v>105.1241</v>
      </c>
      <c r="AH16" s="67">
        <v>105.1241</v>
      </c>
      <c r="AI16" s="67"/>
      <c r="AJ16" s="67"/>
      <c r="AK16" s="63"/>
      <c r="AL16" s="113">
        <f>SUM(AM16:AP16)</f>
        <v>210.1976</v>
      </c>
      <c r="AM16" s="67">
        <v>210.1976</v>
      </c>
      <c r="AN16" s="67"/>
      <c r="AO16" s="67"/>
      <c r="AP16" s="63"/>
    </row>
    <row r="17" spans="1:42" s="1" customFormat="1" ht="30.75">
      <c r="A17" s="20" t="s">
        <v>55</v>
      </c>
      <c r="B17" s="21" t="s">
        <v>28</v>
      </c>
      <c r="C17" s="65">
        <f>SUM(D17:G17)</f>
        <v>0</v>
      </c>
      <c r="D17" s="67"/>
      <c r="E17" s="67"/>
      <c r="F17" s="67"/>
      <c r="G17" s="63"/>
      <c r="H17" s="65">
        <f>SUM(I17:L17)</f>
        <v>0</v>
      </c>
      <c r="I17" s="67"/>
      <c r="J17" s="67"/>
      <c r="K17" s="67"/>
      <c r="L17" s="63"/>
      <c r="M17" s="65">
        <f>SUM(N17:Q17)</f>
        <v>0</v>
      </c>
      <c r="N17" s="67"/>
      <c r="O17" s="67"/>
      <c r="P17" s="67"/>
      <c r="Q17" s="63"/>
      <c r="R17" s="65">
        <f>SUM(S17:V17)</f>
        <v>0</v>
      </c>
      <c r="S17" s="67"/>
      <c r="T17" s="67"/>
      <c r="U17" s="67"/>
      <c r="V17" s="63"/>
      <c r="W17" s="65">
        <f>SUM(X17:AA17)</f>
        <v>0</v>
      </c>
      <c r="X17" s="67"/>
      <c r="Y17" s="67"/>
      <c r="Z17" s="67"/>
      <c r="AA17" s="63"/>
      <c r="AB17" s="113">
        <f>SUM(AC17:AF17)</f>
        <v>0</v>
      </c>
      <c r="AC17" s="67"/>
      <c r="AD17" s="67"/>
      <c r="AE17" s="67"/>
      <c r="AF17" s="63"/>
      <c r="AG17" s="113">
        <f>SUM(AH17:AK17)</f>
        <v>0</v>
      </c>
      <c r="AH17" s="67"/>
      <c r="AI17" s="67"/>
      <c r="AJ17" s="67"/>
      <c r="AK17" s="63"/>
      <c r="AL17" s="113">
        <f>SUM(AM17:AP17)</f>
        <v>0</v>
      </c>
      <c r="AM17" s="67"/>
      <c r="AN17" s="67"/>
      <c r="AO17" s="67"/>
      <c r="AP17" s="63"/>
    </row>
    <row r="18" spans="1:42" s="1" customFormat="1" ht="30.75">
      <c r="A18" s="20" t="s">
        <v>42</v>
      </c>
      <c r="B18" s="21" t="s">
        <v>60</v>
      </c>
      <c r="C18" s="65">
        <f>SUM(D18:G18)</f>
        <v>2.8707418208860918</v>
      </c>
      <c r="D18" s="54">
        <f>D8*D19/100</f>
        <v>2.7827222587956997</v>
      </c>
      <c r="E18" s="54">
        <f>E8*E19/100</f>
        <v>0</v>
      </c>
      <c r="F18" s="54">
        <f>F8*F19/100</f>
        <v>0.08801956209039216</v>
      </c>
      <c r="G18" s="55">
        <f>G8*G19/100</f>
        <v>0</v>
      </c>
      <c r="H18" s="65">
        <f>SUM(I18:L18)</f>
        <v>2.7091184215039994</v>
      </c>
      <c r="I18" s="54">
        <f>I8*I19/100</f>
        <v>2.6179084799999996</v>
      </c>
      <c r="J18" s="54">
        <f>J8*J19/100</f>
        <v>0</v>
      </c>
      <c r="K18" s="54">
        <f>K8*K19/100</f>
        <v>0.09120994150399983</v>
      </c>
      <c r="L18" s="55">
        <f>L8*L19/100</f>
        <v>0</v>
      </c>
      <c r="M18" s="65">
        <f>SUM(N18:Q18)</f>
        <v>1.405092591245056</v>
      </c>
      <c r="N18" s="54">
        <f>N8*N19/100</f>
        <v>1.3853900987199999</v>
      </c>
      <c r="O18" s="54">
        <f>O8*O19/100</f>
        <v>0</v>
      </c>
      <c r="P18" s="54">
        <f>P8*P19/100</f>
        <v>0.019702492525056278</v>
      </c>
      <c r="Q18" s="55">
        <f>Q8*Q19/100</f>
        <v>0</v>
      </c>
      <c r="R18" s="65">
        <f>SUM(S18:V18)</f>
        <v>1.377089124014</v>
      </c>
      <c r="S18" s="54">
        <f>S8*S19/100</f>
        <v>1.3513381596</v>
      </c>
      <c r="T18" s="54">
        <f>T8*T19/100</f>
        <v>0</v>
      </c>
      <c r="U18" s="54">
        <f>U8*U19/100</f>
        <v>0.025750964413999853</v>
      </c>
      <c r="V18" s="55">
        <f>V8*V19/100</f>
        <v>0</v>
      </c>
      <c r="W18" s="65">
        <f>SUM(X18:AA18)</f>
        <v>2.7821636143040003</v>
      </c>
      <c r="X18" s="54">
        <f>X8*X19/100</f>
        <v>2.7365569800000005</v>
      </c>
      <c r="Y18" s="54">
        <f>Y8*Y19/100</f>
        <v>0</v>
      </c>
      <c r="Z18" s="54">
        <f>Z8*Z19/100</f>
        <v>0.045606634304</v>
      </c>
      <c r="AA18" s="55">
        <f>AA8*AA19/100</f>
        <v>0</v>
      </c>
      <c r="AB18" s="113">
        <f>SUM(AC18:AF18)</f>
        <v>1.3734890119699998</v>
      </c>
      <c r="AC18" s="109">
        <f>AC8*AC19/100</f>
        <v>1.3448357265</v>
      </c>
      <c r="AD18" s="109">
        <f>AD8*AD19/100</f>
        <v>0</v>
      </c>
      <c r="AE18" s="109">
        <f>AE8*AE19/100</f>
        <v>0.0286532854699999</v>
      </c>
      <c r="AF18" s="110">
        <f>AF8*AF19/100</f>
        <v>0</v>
      </c>
      <c r="AG18" s="113">
        <f>SUM(AH18:AK18)</f>
        <v>1.3740787104</v>
      </c>
      <c r="AH18" s="109">
        <f>AH8*AH19/100</f>
        <v>1.3455884800000002</v>
      </c>
      <c r="AI18" s="109">
        <f>AI8*AI19/100</f>
        <v>0</v>
      </c>
      <c r="AJ18" s="109">
        <f>AJ8*AJ19/100</f>
        <v>0.028490230399999917</v>
      </c>
      <c r="AK18" s="110">
        <f>AK8*AK19/100</f>
        <v>0</v>
      </c>
      <c r="AL18" s="113">
        <f>SUM(AM18:AP18)</f>
        <v>2.7475676975759993</v>
      </c>
      <c r="AM18" s="109">
        <f>AM8*AM19/100</f>
        <v>2.6904241811999996</v>
      </c>
      <c r="AN18" s="109">
        <f>AN8*AN19/100</f>
        <v>0</v>
      </c>
      <c r="AO18" s="109">
        <f>AO8*AO19/100</f>
        <v>0.05714351637599975</v>
      </c>
      <c r="AP18" s="110">
        <f>AP8*AP19/100</f>
        <v>0</v>
      </c>
    </row>
    <row r="19" spans="1:42" s="1" customFormat="1" ht="15">
      <c r="A19" s="20" t="s">
        <v>38</v>
      </c>
      <c r="B19" s="21" t="s">
        <v>25</v>
      </c>
      <c r="C19" s="65">
        <f>IF(C8=0,0,C18/C8*100)</f>
        <v>1.417966134750861</v>
      </c>
      <c r="D19" s="68">
        <v>1.37449</v>
      </c>
      <c r="E19" s="68"/>
      <c r="F19" s="68">
        <v>3.52</v>
      </c>
      <c r="G19" s="69">
        <v>0</v>
      </c>
      <c r="H19" s="65">
        <f>IF(H8=0,0,H18/H8*100)</f>
        <v>1.324596182798995</v>
      </c>
      <c r="I19" s="68">
        <v>1.28</v>
      </c>
      <c r="J19" s="68"/>
      <c r="K19" s="68">
        <v>3.52</v>
      </c>
      <c r="L19" s="69">
        <v>0</v>
      </c>
      <c r="M19" s="65">
        <f>IF(M8=0,0,M18/M8*100)</f>
        <v>1.311489977745394</v>
      </c>
      <c r="N19" s="68">
        <v>1.2931</v>
      </c>
      <c r="O19" s="68"/>
      <c r="P19" s="68">
        <v>3.52</v>
      </c>
      <c r="Q19" s="69">
        <v>0</v>
      </c>
      <c r="R19" s="65">
        <f>IF(R8=0,0,R18/R8*100)</f>
        <v>1.3115249428985474</v>
      </c>
      <c r="S19" s="68">
        <v>1.287</v>
      </c>
      <c r="T19" s="68"/>
      <c r="U19" s="68">
        <v>3.5</v>
      </c>
      <c r="V19" s="69">
        <v>0</v>
      </c>
      <c r="W19" s="65">
        <f>IF(W8=0,0,W18/W8*100)</f>
        <v>1.3114987514172498</v>
      </c>
      <c r="X19" s="68">
        <v>1.29</v>
      </c>
      <c r="Y19" s="68"/>
      <c r="Z19" s="68">
        <v>3.52</v>
      </c>
      <c r="AA19" s="69"/>
      <c r="AB19" s="113">
        <f>IF(AB8=0,0,AB18/AB8*100)</f>
        <v>1.307169754476628</v>
      </c>
      <c r="AC19" s="68">
        <v>1.2799</v>
      </c>
      <c r="AD19" s="68"/>
      <c r="AE19" s="68">
        <v>2</v>
      </c>
      <c r="AF19" s="69"/>
      <c r="AG19" s="113">
        <f>IF(AG8=0,0,AG18/AG8*100)</f>
        <v>1.3071015213447728</v>
      </c>
      <c r="AH19" s="68">
        <v>1.28</v>
      </c>
      <c r="AI19" s="68"/>
      <c r="AJ19" s="68">
        <v>2</v>
      </c>
      <c r="AK19" s="69"/>
      <c r="AL19" s="113">
        <f>IF(AL8=0,0,AL18/AL8*100)</f>
        <v>1.3071356179023925</v>
      </c>
      <c r="AM19" s="68">
        <v>1.27995</v>
      </c>
      <c r="AN19" s="68"/>
      <c r="AO19" s="68">
        <v>2</v>
      </c>
      <c r="AP19" s="69"/>
    </row>
    <row r="20" spans="1:42" s="1" customFormat="1" ht="46.5">
      <c r="A20" s="20" t="s">
        <v>43</v>
      </c>
      <c r="B20" s="21" t="s">
        <v>7</v>
      </c>
      <c r="C20" s="65">
        <f>SUM(D20:G20)</f>
        <v>58.092221</v>
      </c>
      <c r="D20" s="68">
        <v>58.092221</v>
      </c>
      <c r="E20" s="68"/>
      <c r="F20" s="68"/>
      <c r="G20" s="69"/>
      <c r="H20" s="65">
        <f>SUM(I20:L20)</f>
        <v>59.135</v>
      </c>
      <c r="I20" s="68">
        <v>59.135</v>
      </c>
      <c r="J20" s="68"/>
      <c r="K20" s="68"/>
      <c r="L20" s="69"/>
      <c r="M20" s="65">
        <f>SUM(N20:Q20)</f>
        <v>30.105</v>
      </c>
      <c r="N20" s="68">
        <v>30.105</v>
      </c>
      <c r="O20" s="68"/>
      <c r="P20" s="68"/>
      <c r="Q20" s="69"/>
      <c r="R20" s="65">
        <f>SUM(S20:V20)</f>
        <v>28.545</v>
      </c>
      <c r="S20" s="68">
        <v>28.545</v>
      </c>
      <c r="T20" s="68"/>
      <c r="U20" s="68"/>
      <c r="V20" s="69"/>
      <c r="W20" s="65">
        <f>SUM(X20:AA20)</f>
        <v>58.65</v>
      </c>
      <c r="X20" s="68">
        <v>58.65</v>
      </c>
      <c r="Y20" s="68"/>
      <c r="Z20" s="68"/>
      <c r="AA20" s="69"/>
      <c r="AB20" s="113">
        <f>SUM(AC20:AF20)</f>
        <v>30.01</v>
      </c>
      <c r="AC20" s="68">
        <v>30.01</v>
      </c>
      <c r="AD20" s="68"/>
      <c r="AE20" s="68"/>
      <c r="AF20" s="69"/>
      <c r="AG20" s="113">
        <f>SUM(AH20:AK20)</f>
        <v>29.64</v>
      </c>
      <c r="AH20" s="68">
        <v>29.64</v>
      </c>
      <c r="AI20" s="68"/>
      <c r="AJ20" s="68"/>
      <c r="AK20" s="69"/>
      <c r="AL20" s="113">
        <f>SUM(AM20:AP20)</f>
        <v>59.65</v>
      </c>
      <c r="AM20" s="68">
        <v>59.65</v>
      </c>
      <c r="AN20" s="68"/>
      <c r="AO20" s="68"/>
      <c r="AP20" s="69"/>
    </row>
    <row r="21" spans="1:42" s="1" customFormat="1" ht="30.75">
      <c r="A21" s="20" t="s">
        <v>44</v>
      </c>
      <c r="B21" s="21" t="s">
        <v>61</v>
      </c>
      <c r="C21" s="65">
        <f>SUM(D21:G21)</f>
        <v>141.49193017911392</v>
      </c>
      <c r="D21" s="54">
        <f>D22+D23+D24</f>
        <v>139.07939399999998</v>
      </c>
      <c r="E21" s="54">
        <f>E22+E23+E24</f>
        <v>0</v>
      </c>
      <c r="F21" s="54">
        <f>F22+F23+F24</f>
        <v>2.4125490000000003</v>
      </c>
      <c r="G21" s="55">
        <f>G8-G18-G20</f>
        <v>-1.2820886069242476E-05</v>
      </c>
      <c r="H21" s="65">
        <f>SUM(I21:L21)</f>
        <v>142.679981578496</v>
      </c>
      <c r="I21" s="54">
        <f>I22+I23+I24</f>
        <v>140.18</v>
      </c>
      <c r="J21" s="54">
        <f>J22+J23+J24</f>
        <v>0</v>
      </c>
      <c r="K21" s="54">
        <f>K22+K23+K24</f>
        <v>2.5</v>
      </c>
      <c r="L21" s="55">
        <f>L8-L18-L20</f>
        <v>-1.842150400443998E-05</v>
      </c>
      <c r="M21" s="65">
        <f>SUM(N21:Q21)</f>
        <v>75.62702740875494</v>
      </c>
      <c r="N21" s="54">
        <f>N22+N23+N24</f>
        <v>75.08699999999999</v>
      </c>
      <c r="O21" s="54">
        <f>O22+O23+O24</f>
        <v>0</v>
      </c>
      <c r="P21" s="54">
        <f>P22+P23+P24</f>
        <v>0.54</v>
      </c>
      <c r="Q21" s="55">
        <f>Q8-Q18-Q20</f>
        <v>2.740875495155226E-05</v>
      </c>
      <c r="R21" s="65">
        <f>SUM(S21:V21)</f>
        <v>75.076990875986</v>
      </c>
      <c r="S21" s="54">
        <f>S22+S23+S24</f>
        <v>74.367</v>
      </c>
      <c r="T21" s="54">
        <f>T22+T23+T24</f>
        <v>0</v>
      </c>
      <c r="U21" s="54">
        <f>U22+U23+U24</f>
        <v>0.71</v>
      </c>
      <c r="V21" s="55">
        <f>V8-V18-V20</f>
        <v>-9.124014003991654E-06</v>
      </c>
      <c r="W21" s="65">
        <f>SUM(X21:AA21)</f>
        <v>150.704036385696</v>
      </c>
      <c r="X21" s="54">
        <f>X22+X23+X24</f>
        <v>149.454</v>
      </c>
      <c r="Y21" s="54">
        <f>Y22+Y23+Y24</f>
        <v>0</v>
      </c>
      <c r="Z21" s="54">
        <f>Z22+Z23+Z24</f>
        <v>1.25</v>
      </c>
      <c r="AA21" s="55">
        <f>AA8-AA18-AA20</f>
        <v>3.6385695999952006E-05</v>
      </c>
      <c r="AB21" s="113">
        <f>SUM(AC21:AF21)</f>
        <v>73.69001098803</v>
      </c>
      <c r="AC21" s="109">
        <f>AC22+AC23+AC24</f>
        <v>72.286</v>
      </c>
      <c r="AD21" s="109">
        <f>AD22+AD23+AD24</f>
        <v>0</v>
      </c>
      <c r="AE21" s="109">
        <f>AE22+AE23+AE24</f>
        <v>1.4040000000000001</v>
      </c>
      <c r="AF21" s="110">
        <f>AF8-AF18-AF20</f>
        <v>1.098802999499604E-05</v>
      </c>
      <c r="AG21" s="113">
        <f>SUM(AH21:AK21)</f>
        <v>74.1100212896</v>
      </c>
      <c r="AH21" s="109">
        <f>AH22+AH23+AH24</f>
        <v>72.714</v>
      </c>
      <c r="AI21" s="109">
        <f>AI22+AI23+AI24</f>
        <v>0</v>
      </c>
      <c r="AJ21" s="109">
        <f>AJ22+AJ23+AJ24</f>
        <v>1.3960000000000001</v>
      </c>
      <c r="AK21" s="110">
        <f>AK8-AK18-AK20</f>
        <v>2.1289599995810704E-05</v>
      </c>
      <c r="AL21" s="113">
        <f>SUM(AM21:AP21)</f>
        <v>147.800032302424</v>
      </c>
      <c r="AM21" s="109">
        <f>AM22+AM23+AM24</f>
        <v>145</v>
      </c>
      <c r="AN21" s="109">
        <f>AN22+AN23+AN24</f>
        <v>0</v>
      </c>
      <c r="AO21" s="109">
        <f>AO22+AO23+AO24</f>
        <v>2.8000000000000003</v>
      </c>
      <c r="AP21" s="110">
        <f>AP8-AP18-AP20</f>
        <v>3.2302423987662365E-05</v>
      </c>
    </row>
    <row r="22" spans="1:42" s="1" customFormat="1" ht="46.5">
      <c r="A22" s="20" t="s">
        <v>4</v>
      </c>
      <c r="B22" s="21" t="s">
        <v>8</v>
      </c>
      <c r="C22" s="65">
        <f>SUM(D22:G22)</f>
        <v>26.623191</v>
      </c>
      <c r="D22" s="68">
        <f>26.623191-F22</f>
        <v>24.405265</v>
      </c>
      <c r="E22" s="68"/>
      <c r="F22" s="68">
        <f>2.203653+0.014273</f>
        <v>2.2179260000000003</v>
      </c>
      <c r="G22" s="69">
        <v>0</v>
      </c>
      <c r="H22" s="65">
        <f>SUM(I22:L22)</f>
        <v>27.18</v>
      </c>
      <c r="I22" s="68">
        <f>22+0.5+1.3+0.03+2.2+1.15-K22</f>
        <v>24.88</v>
      </c>
      <c r="J22" s="68"/>
      <c r="K22" s="68">
        <v>2.3</v>
      </c>
      <c r="L22" s="69">
        <v>0</v>
      </c>
      <c r="M22" s="65">
        <f>SUM(N22:Q22)</f>
        <v>17.827</v>
      </c>
      <c r="N22" s="68">
        <f>17.827-P22</f>
        <v>17.384</v>
      </c>
      <c r="O22" s="68"/>
      <c r="P22" s="68">
        <v>0.443</v>
      </c>
      <c r="Q22" s="69">
        <v>0</v>
      </c>
      <c r="R22" s="65">
        <f>SUM(S22:V22)</f>
        <v>17.377</v>
      </c>
      <c r="S22" s="68">
        <f>17.377-U22</f>
        <v>16.77</v>
      </c>
      <c r="T22" s="68"/>
      <c r="U22" s="68">
        <v>0.607</v>
      </c>
      <c r="V22" s="69">
        <v>0</v>
      </c>
      <c r="W22" s="65">
        <f>SUM(X22:AA22)</f>
        <v>35.204</v>
      </c>
      <c r="X22" s="68">
        <f>35.204-Z22</f>
        <v>34.154</v>
      </c>
      <c r="Y22" s="68"/>
      <c r="Z22" s="68">
        <v>1.05</v>
      </c>
      <c r="AA22" s="69"/>
      <c r="AB22" s="113">
        <f>SUM(AC22:AF22)</f>
        <v>13.79</v>
      </c>
      <c r="AC22" s="68">
        <f>13.79-AE22</f>
        <v>12.489999999999998</v>
      </c>
      <c r="AD22" s="68"/>
      <c r="AE22" s="68">
        <v>1.3</v>
      </c>
      <c r="AF22" s="69"/>
      <c r="AG22" s="113">
        <f>SUM(AH22:AK22)</f>
        <v>14.31</v>
      </c>
      <c r="AH22" s="68">
        <f>14.31-AJ22</f>
        <v>13.01</v>
      </c>
      <c r="AI22" s="68"/>
      <c r="AJ22" s="68">
        <v>1.3</v>
      </c>
      <c r="AK22" s="69"/>
      <c r="AL22" s="113">
        <f>SUM(AM22:AP22)</f>
        <v>28.1</v>
      </c>
      <c r="AM22" s="68">
        <f>28.1-AO22</f>
        <v>25.5</v>
      </c>
      <c r="AN22" s="68"/>
      <c r="AO22" s="68">
        <v>2.6</v>
      </c>
      <c r="AP22" s="69"/>
    </row>
    <row r="23" spans="1:42" s="1" customFormat="1" ht="30.75">
      <c r="A23" s="22" t="s">
        <v>5</v>
      </c>
      <c r="B23" s="23" t="s">
        <v>29</v>
      </c>
      <c r="C23" s="65">
        <f>SUM(D23:G23)</f>
        <v>0</v>
      </c>
      <c r="D23" s="61"/>
      <c r="E23" s="61"/>
      <c r="F23" s="61"/>
      <c r="G23" s="70"/>
      <c r="H23" s="65">
        <f>SUM(I23:L23)</f>
        <v>0</v>
      </c>
      <c r="I23" s="61"/>
      <c r="J23" s="61"/>
      <c r="K23" s="61"/>
      <c r="L23" s="70"/>
      <c r="M23" s="65">
        <f>SUM(N23:Q23)</f>
        <v>0</v>
      </c>
      <c r="N23" s="61"/>
      <c r="O23" s="61"/>
      <c r="P23" s="61"/>
      <c r="Q23" s="70"/>
      <c r="R23" s="65">
        <f>SUM(S23:V23)</f>
        <v>0</v>
      </c>
      <c r="S23" s="61"/>
      <c r="T23" s="61"/>
      <c r="U23" s="61"/>
      <c r="V23" s="70"/>
      <c r="W23" s="65">
        <f>SUM(X23:AA23)</f>
        <v>0</v>
      </c>
      <c r="X23" s="61"/>
      <c r="Y23" s="61"/>
      <c r="Z23" s="61"/>
      <c r="AA23" s="70"/>
      <c r="AB23" s="113">
        <f>SUM(AC23:AF23)</f>
        <v>0</v>
      </c>
      <c r="AC23" s="61"/>
      <c r="AD23" s="61"/>
      <c r="AE23" s="61"/>
      <c r="AF23" s="70"/>
      <c r="AG23" s="113">
        <f>SUM(AH23:AK23)</f>
        <v>0</v>
      </c>
      <c r="AH23" s="61"/>
      <c r="AI23" s="61"/>
      <c r="AJ23" s="61"/>
      <c r="AK23" s="70"/>
      <c r="AL23" s="113">
        <f>SUM(AM23:AP23)</f>
        <v>0</v>
      </c>
      <c r="AM23" s="61"/>
      <c r="AN23" s="61"/>
      <c r="AO23" s="61"/>
      <c r="AP23" s="70"/>
    </row>
    <row r="24" spans="1:42" s="1" customFormat="1" ht="31.5" thickBot="1">
      <c r="A24" s="24" t="s">
        <v>9</v>
      </c>
      <c r="B24" s="25" t="s">
        <v>30</v>
      </c>
      <c r="C24" s="71">
        <f>SUM(D24:G24)</f>
        <v>114.868752</v>
      </c>
      <c r="D24" s="72">
        <v>114.674129</v>
      </c>
      <c r="E24" s="72"/>
      <c r="F24" s="72">
        <v>0.194623</v>
      </c>
      <c r="G24" s="73"/>
      <c r="H24" s="71">
        <f>SUM(I24:L24)</f>
        <v>115.5</v>
      </c>
      <c r="I24" s="72">
        <v>115.3</v>
      </c>
      <c r="J24" s="72"/>
      <c r="K24" s="72">
        <v>0.2</v>
      </c>
      <c r="L24" s="73"/>
      <c r="M24" s="71">
        <f>SUM(N24:Q24)</f>
        <v>57.8</v>
      </c>
      <c r="N24" s="72">
        <f>57.8-P24</f>
        <v>57.702999999999996</v>
      </c>
      <c r="O24" s="72"/>
      <c r="P24" s="72">
        <v>0.097</v>
      </c>
      <c r="Q24" s="73"/>
      <c r="R24" s="71">
        <f>SUM(S24:V24)</f>
        <v>57.7</v>
      </c>
      <c r="S24" s="72">
        <f>57.7-U24</f>
        <v>57.597</v>
      </c>
      <c r="T24" s="72"/>
      <c r="U24" s="72">
        <v>0.103</v>
      </c>
      <c r="V24" s="73"/>
      <c r="W24" s="71">
        <f>SUM(X24:AA24)</f>
        <v>115.5</v>
      </c>
      <c r="X24" s="72">
        <f>115.5-Z24</f>
        <v>115.3</v>
      </c>
      <c r="Y24" s="72"/>
      <c r="Z24" s="72">
        <v>0.2</v>
      </c>
      <c r="AA24" s="73"/>
      <c r="AB24" s="114">
        <f>SUM(AC24:AF24)</f>
        <v>59.9</v>
      </c>
      <c r="AC24" s="72">
        <f>59.9-AE24</f>
        <v>59.796</v>
      </c>
      <c r="AD24" s="72"/>
      <c r="AE24" s="72">
        <v>0.104</v>
      </c>
      <c r="AF24" s="73"/>
      <c r="AG24" s="114">
        <f>SUM(AH24:AK24)</f>
        <v>59.8</v>
      </c>
      <c r="AH24" s="72">
        <f>59.8-AJ24</f>
        <v>59.704</v>
      </c>
      <c r="AI24" s="72"/>
      <c r="AJ24" s="72">
        <v>0.096</v>
      </c>
      <c r="AK24" s="73"/>
      <c r="AL24" s="114">
        <f>SUM(AM24:AP24)</f>
        <v>119.7</v>
      </c>
      <c r="AM24" s="72">
        <f>119.7-AO24</f>
        <v>119.5</v>
      </c>
      <c r="AN24" s="72"/>
      <c r="AO24" s="72">
        <v>0.2</v>
      </c>
      <c r="AP24" s="73"/>
    </row>
    <row r="25" spans="1:42" s="28" customFormat="1" ht="15.75" thickBot="1">
      <c r="A25" s="26"/>
      <c r="B25" s="27" t="s">
        <v>11</v>
      </c>
      <c r="C25" s="74"/>
      <c r="D25" s="75">
        <f>D8-D18-D20-D22-D23-D24-E11-F11-G11</f>
        <v>-1.4210854715202004E-14</v>
      </c>
      <c r="E25" s="75">
        <f>E8-E18-E20-E22-E23-E24-F12-G12</f>
        <v>0</v>
      </c>
      <c r="F25" s="75">
        <f>F8-F18-F20-F22-F23-F24-G13</f>
        <v>0</v>
      </c>
      <c r="G25" s="76">
        <f>G8-G18-G20-G22-G23-G24</f>
        <v>-1.2820886069242476E-05</v>
      </c>
      <c r="H25" s="77"/>
      <c r="I25" s="75">
        <f>I8-I18-I20-I22-I23-I24-J11-K11-L11</f>
        <v>1.4210854715202004E-14</v>
      </c>
      <c r="J25" s="75">
        <f>J8-J18-J20-J22-J23-J24-K12-L12</f>
        <v>0</v>
      </c>
      <c r="K25" s="75">
        <f>K8-K18-K20-K22-K23-K24-L13</f>
        <v>1.6653345369377348E-16</v>
      </c>
      <c r="L25" s="78">
        <f>L8-L18-L20-L22-L23-L24</f>
        <v>-1.842150400443998E-05</v>
      </c>
      <c r="M25" s="74"/>
      <c r="N25" s="75">
        <f>N8-N18-N20-N22-N23-N24-O11-P11-Q11</f>
        <v>-7.105427357601002E-15</v>
      </c>
      <c r="O25" s="75">
        <f>O8-O18-O20-O22-O23-O24-P12-Q12</f>
        <v>0</v>
      </c>
      <c r="P25" s="75">
        <f>P8-P18-P20-P22-P23-P24-Q13</f>
        <v>2.7755575615628914E-17</v>
      </c>
      <c r="Q25" s="76">
        <f>Q8-Q18-Q20-Q22-Q23-Q24</f>
        <v>2.740875495155226E-05</v>
      </c>
      <c r="R25" s="77"/>
      <c r="S25" s="75">
        <f>S8-S18-S20-S22-S23-S24-T11-U11-V11</f>
        <v>7.105427357601002E-15</v>
      </c>
      <c r="T25" s="75">
        <f>T8-T18-T20-T22-T23-T24-U12-V12</f>
        <v>0</v>
      </c>
      <c r="U25" s="75">
        <f>U8-U18-U20-U22-U23-U24-V13</f>
        <v>-1.3877787807814457E-17</v>
      </c>
      <c r="V25" s="78">
        <f>V8-V18-V20-V22-V23-V24</f>
        <v>-9.124014003991654E-06</v>
      </c>
      <c r="W25" s="74"/>
      <c r="X25" s="75">
        <f>X8-X18-X20-X22-X23-X24-Y11-Z11-AA11</f>
        <v>1.4210854715202004E-14</v>
      </c>
      <c r="Y25" s="75">
        <f>Y8-Y18-Y20-Y22-Y23-Y24-Z12-AA12</f>
        <v>0</v>
      </c>
      <c r="Z25" s="75">
        <f>Z8-Z18-Z20-Z22-Z23-Z24-AA13</f>
        <v>-5.551115123125783E-17</v>
      </c>
      <c r="AA25" s="76">
        <f>AA8-AA18-AA20-AA22-AA23-AA24</f>
        <v>3.6385695999952006E-05</v>
      </c>
      <c r="AB25" s="115"/>
      <c r="AC25" s="116">
        <f>AC8-AC18-AC20-AC22-AC23-AC24-AD11-AE11-AF11</f>
        <v>7.105427357601002E-15</v>
      </c>
      <c r="AD25" s="116">
        <f>AD8-AD18-AD20-AD22-AD23-AD24-AE12-AF12</f>
        <v>0</v>
      </c>
      <c r="AE25" s="116">
        <f>AE8-AE18-AE20-AE22-AE23-AE24-AF13</f>
        <v>9.71445146547012E-17</v>
      </c>
      <c r="AF25" s="117">
        <f>AF8-AF18-AF20-AF22-AF23-AF24</f>
        <v>1.098802999499604E-05</v>
      </c>
      <c r="AG25" s="115"/>
      <c r="AH25" s="116">
        <f>AH8-AH18-AH20-AH22-AH23-AH24-AI11-AJ11-AK11</f>
        <v>0</v>
      </c>
      <c r="AI25" s="116">
        <f>AI8-AI18-AI20-AI22-AI23-AI24-AJ12-AK12</f>
        <v>0</v>
      </c>
      <c r="AJ25" s="116">
        <f>AJ8-AJ18-AJ20-AJ22-AJ23-AJ24-AK13</f>
        <v>8.326672684688674E-17</v>
      </c>
      <c r="AK25" s="117">
        <f>AK8-AK18-AK20-AK22-AK23-AK24</f>
        <v>2.1289599995810704E-05</v>
      </c>
      <c r="AL25" s="115"/>
      <c r="AM25" s="116">
        <f>AM8-AM18-AM20-AM22-AM23-AM24-AN11-AO11-AP11</f>
        <v>0</v>
      </c>
      <c r="AN25" s="116">
        <f>AN8-AN18-AN20-AN22-AN23-AN24-AO12-AP12</f>
        <v>0</v>
      </c>
      <c r="AO25" s="116">
        <f>AO8-AO18-AO20-AO22-AO23-AO24-AP13</f>
        <v>1.6653345369377348E-16</v>
      </c>
      <c r="AP25" s="117">
        <f>AP8-AP18-AP20-AP22-AP23-AP24</f>
        <v>3.2302423987662365E-05</v>
      </c>
    </row>
    <row r="26" spans="1:27" s="28" customFormat="1" ht="15">
      <c r="A26" s="29"/>
      <c r="B26" s="30"/>
      <c r="C26" s="31"/>
      <c r="D26" s="32"/>
      <c r="E26" s="32"/>
      <c r="F26" s="32"/>
      <c r="G26" s="32"/>
      <c r="H26" s="31"/>
      <c r="I26" s="32"/>
      <c r="J26" s="32"/>
      <c r="K26" s="32"/>
      <c r="L26" s="32"/>
      <c r="M26" s="31"/>
      <c r="N26" s="32"/>
      <c r="O26" s="32"/>
      <c r="P26" s="32"/>
      <c r="Q26" s="32"/>
      <c r="R26" s="31"/>
      <c r="S26" s="32"/>
      <c r="T26" s="32"/>
      <c r="U26" s="32"/>
      <c r="V26" s="32"/>
      <c r="W26" s="31"/>
      <c r="X26" s="32"/>
      <c r="Y26" s="32"/>
      <c r="Z26" s="32"/>
      <c r="AA26" s="32"/>
    </row>
    <row r="27" spans="1:27" s="1" customFormat="1" ht="15">
      <c r="A27" s="33"/>
      <c r="B27" s="33" t="s">
        <v>66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</row>
    <row r="28" spans="1:27" s="1" customFormat="1" ht="15" hidden="1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</row>
    <row r="29" spans="1:27" s="1" customFormat="1" ht="15.75" hidden="1" thickBot="1">
      <c r="A29" s="33"/>
      <c r="B29" s="34" t="s">
        <v>33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</row>
    <row r="30" spans="1:42" s="1" customFormat="1" ht="30.75" hidden="1">
      <c r="A30" s="35" t="s">
        <v>45</v>
      </c>
      <c r="B30" s="36" t="s">
        <v>31</v>
      </c>
      <c r="C30" s="8" t="s">
        <v>40</v>
      </c>
      <c r="D30" s="8" t="s">
        <v>47</v>
      </c>
      <c r="E30" s="8" t="s">
        <v>48</v>
      </c>
      <c r="F30" s="8" t="s">
        <v>49</v>
      </c>
      <c r="G30" s="9" t="s">
        <v>50</v>
      </c>
      <c r="H30" s="8" t="s">
        <v>40</v>
      </c>
      <c r="I30" s="8" t="s">
        <v>47</v>
      </c>
      <c r="J30" s="8" t="s">
        <v>48</v>
      </c>
      <c r="K30" s="8" t="s">
        <v>49</v>
      </c>
      <c r="L30" s="9" t="s">
        <v>50</v>
      </c>
      <c r="M30" s="8" t="s">
        <v>40</v>
      </c>
      <c r="N30" s="8" t="s">
        <v>47</v>
      </c>
      <c r="O30" s="8" t="s">
        <v>48</v>
      </c>
      <c r="P30" s="8" t="s">
        <v>49</v>
      </c>
      <c r="Q30" s="9" t="s">
        <v>50</v>
      </c>
      <c r="R30" s="8" t="s">
        <v>40</v>
      </c>
      <c r="S30" s="8" t="s">
        <v>47</v>
      </c>
      <c r="T30" s="8" t="s">
        <v>48</v>
      </c>
      <c r="U30" s="8" t="s">
        <v>49</v>
      </c>
      <c r="V30" s="9" t="s">
        <v>50</v>
      </c>
      <c r="W30" s="8" t="s">
        <v>40</v>
      </c>
      <c r="X30" s="8" t="s">
        <v>47</v>
      </c>
      <c r="Y30" s="8" t="s">
        <v>48</v>
      </c>
      <c r="Z30" s="8" t="s">
        <v>49</v>
      </c>
      <c r="AA30" s="9" t="s">
        <v>50</v>
      </c>
      <c r="AB30" s="8" t="s">
        <v>40</v>
      </c>
      <c r="AC30" s="8" t="s">
        <v>47</v>
      </c>
      <c r="AD30" s="8" t="s">
        <v>48</v>
      </c>
      <c r="AE30" s="8" t="s">
        <v>49</v>
      </c>
      <c r="AF30" s="9" t="s">
        <v>50</v>
      </c>
      <c r="AG30" s="8" t="s">
        <v>40</v>
      </c>
      <c r="AH30" s="8" t="s">
        <v>47</v>
      </c>
      <c r="AI30" s="8" t="s">
        <v>48</v>
      </c>
      <c r="AJ30" s="8" t="s">
        <v>49</v>
      </c>
      <c r="AK30" s="9"/>
      <c r="AL30" s="8"/>
      <c r="AM30" s="8" t="s">
        <v>47</v>
      </c>
      <c r="AN30" s="8" t="s">
        <v>48</v>
      </c>
      <c r="AO30" s="8" t="s">
        <v>49</v>
      </c>
      <c r="AP30" s="9" t="s">
        <v>50</v>
      </c>
    </row>
    <row r="31" spans="1:42" ht="15" hidden="1">
      <c r="A31" s="37"/>
      <c r="B31" s="38"/>
      <c r="C31" s="79">
        <f>SUM(D31:G31)</f>
        <v>0</v>
      </c>
      <c r="D31" s="80"/>
      <c r="E31" s="80"/>
      <c r="F31" s="80"/>
      <c r="G31" s="81"/>
      <c r="H31" s="96">
        <f>SUM(I31:L31)</f>
        <v>0</v>
      </c>
      <c r="I31" s="80"/>
      <c r="J31" s="80"/>
      <c r="K31" s="80"/>
      <c r="L31" s="81"/>
      <c r="M31" s="96">
        <f>SUM(N31:Q31)</f>
        <v>0</v>
      </c>
      <c r="N31" s="80"/>
      <c r="O31" s="80"/>
      <c r="P31" s="80"/>
      <c r="Q31" s="81"/>
      <c r="R31" s="96">
        <f>SUM(S31:V31)</f>
        <v>0</v>
      </c>
      <c r="S31" s="80"/>
      <c r="T31" s="80"/>
      <c r="U31" s="80"/>
      <c r="V31" s="81"/>
      <c r="W31" s="96">
        <f>SUM(X31:AA31)</f>
        <v>0</v>
      </c>
      <c r="X31" s="80"/>
      <c r="Y31" s="80"/>
      <c r="Z31" s="80"/>
      <c r="AA31" s="81"/>
      <c r="AB31" s="96">
        <f>SUM(AC31:AF31)</f>
        <v>0</v>
      </c>
      <c r="AC31" s="80"/>
      <c r="AD31" s="80"/>
      <c r="AE31" s="80"/>
      <c r="AF31" s="81"/>
      <c r="AG31" s="96">
        <f>SUM(AH31:AK31)</f>
        <v>0</v>
      </c>
      <c r="AH31" s="80"/>
      <c r="AI31" s="80"/>
      <c r="AJ31" s="80"/>
      <c r="AK31" s="81"/>
      <c r="AL31" s="96"/>
      <c r="AM31" s="80"/>
      <c r="AN31" s="80"/>
      <c r="AO31" s="80"/>
      <c r="AP31" s="81"/>
    </row>
    <row r="32" spans="1:42" ht="15.75" customHeight="1" hidden="1">
      <c r="A32" s="37"/>
      <c r="B32" s="38"/>
      <c r="C32" s="79">
        <f>SUM(D32:G32)</f>
        <v>0</v>
      </c>
      <c r="D32" s="80"/>
      <c r="E32" s="80"/>
      <c r="F32" s="80"/>
      <c r="G32" s="81"/>
      <c r="H32" s="96">
        <f>SUM(I32:L32)</f>
        <v>0</v>
      </c>
      <c r="I32" s="80"/>
      <c r="J32" s="80"/>
      <c r="K32" s="80"/>
      <c r="L32" s="81"/>
      <c r="M32" s="96">
        <f>SUM(N32:Q32)</f>
        <v>0</v>
      </c>
      <c r="N32" s="80"/>
      <c r="O32" s="80"/>
      <c r="P32" s="80"/>
      <c r="Q32" s="81"/>
      <c r="R32" s="96">
        <f>SUM(S32:V32)</f>
        <v>0</v>
      </c>
      <c r="S32" s="80"/>
      <c r="T32" s="80"/>
      <c r="U32" s="80"/>
      <c r="V32" s="81"/>
      <c r="W32" s="96">
        <f>SUM(X32:AA32)</f>
        <v>0</v>
      </c>
      <c r="X32" s="80"/>
      <c r="Y32" s="80"/>
      <c r="Z32" s="80"/>
      <c r="AA32" s="81"/>
      <c r="AB32" s="96">
        <f>SUM(AC32:AF32)</f>
        <v>0</v>
      </c>
      <c r="AC32" s="80"/>
      <c r="AD32" s="80"/>
      <c r="AE32" s="80"/>
      <c r="AF32" s="81"/>
      <c r="AG32" s="96">
        <f>SUM(AH32:AK32)</f>
        <v>0</v>
      </c>
      <c r="AH32" s="80"/>
      <c r="AI32" s="80"/>
      <c r="AJ32" s="80"/>
      <c r="AK32" s="81"/>
      <c r="AL32" s="96"/>
      <c r="AM32" s="80"/>
      <c r="AN32" s="80"/>
      <c r="AO32" s="80"/>
      <c r="AP32" s="81"/>
    </row>
    <row r="33" spans="1:42" ht="15.75" customHeight="1" hidden="1">
      <c r="A33" s="37"/>
      <c r="B33" s="38"/>
      <c r="C33" s="79">
        <f>SUM(D33:G33)</f>
        <v>0</v>
      </c>
      <c r="D33" s="80"/>
      <c r="E33" s="80"/>
      <c r="F33" s="80"/>
      <c r="G33" s="81"/>
      <c r="H33" s="96">
        <f>SUM(I33:L33)</f>
        <v>0</v>
      </c>
      <c r="I33" s="80"/>
      <c r="J33" s="80"/>
      <c r="K33" s="80"/>
      <c r="L33" s="81"/>
      <c r="M33" s="96">
        <f>SUM(N33:Q33)</f>
        <v>0</v>
      </c>
      <c r="N33" s="80"/>
      <c r="O33" s="80"/>
      <c r="P33" s="80"/>
      <c r="Q33" s="81"/>
      <c r="R33" s="96">
        <f>SUM(S33:V33)</f>
        <v>0</v>
      </c>
      <c r="S33" s="80"/>
      <c r="T33" s="80"/>
      <c r="U33" s="80"/>
      <c r="V33" s="81"/>
      <c r="W33" s="96">
        <f>SUM(X33:AA33)</f>
        <v>0</v>
      </c>
      <c r="X33" s="80"/>
      <c r="Y33" s="80"/>
      <c r="Z33" s="80"/>
      <c r="AA33" s="81"/>
      <c r="AB33" s="96">
        <f>SUM(AC33:AF33)</f>
        <v>0</v>
      </c>
      <c r="AC33" s="80"/>
      <c r="AD33" s="80"/>
      <c r="AE33" s="80"/>
      <c r="AF33" s="81"/>
      <c r="AG33" s="96">
        <f>SUM(AH33:AK33)</f>
        <v>0</v>
      </c>
      <c r="AH33" s="80"/>
      <c r="AI33" s="80"/>
      <c r="AJ33" s="80"/>
      <c r="AK33" s="81"/>
      <c r="AL33" s="96"/>
      <c r="AM33" s="80"/>
      <c r="AN33" s="80"/>
      <c r="AO33" s="80"/>
      <c r="AP33" s="81"/>
    </row>
    <row r="34" spans="1:42" ht="13.5" hidden="1" thickBot="1">
      <c r="A34" s="212" t="s">
        <v>12</v>
      </c>
      <c r="B34" s="208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</row>
    <row r="35" spans="1:42" ht="15.75" hidden="1" thickBot="1">
      <c r="A35" s="41"/>
      <c r="B35" s="42" t="s">
        <v>46</v>
      </c>
      <c r="C35" s="83">
        <f aca="true" t="shared" si="0" ref="C35:AA35">SUM(C31:C33)</f>
        <v>0</v>
      </c>
      <c r="D35" s="83">
        <f t="shared" si="0"/>
        <v>0</v>
      </c>
      <c r="E35" s="83">
        <f t="shared" si="0"/>
        <v>0</v>
      </c>
      <c r="F35" s="83">
        <f t="shared" si="0"/>
        <v>0</v>
      </c>
      <c r="G35" s="84">
        <f t="shared" si="0"/>
        <v>0</v>
      </c>
      <c r="H35" s="97">
        <f t="shared" si="0"/>
        <v>0</v>
      </c>
      <c r="I35" s="97">
        <f t="shared" si="0"/>
        <v>0</v>
      </c>
      <c r="J35" s="97">
        <f t="shared" si="0"/>
        <v>0</v>
      </c>
      <c r="K35" s="97">
        <f t="shared" si="0"/>
        <v>0</v>
      </c>
      <c r="L35" s="98">
        <f t="shared" si="0"/>
        <v>0</v>
      </c>
      <c r="M35" s="97">
        <f t="shared" si="0"/>
        <v>0</v>
      </c>
      <c r="N35" s="97">
        <f t="shared" si="0"/>
        <v>0</v>
      </c>
      <c r="O35" s="97">
        <f t="shared" si="0"/>
        <v>0</v>
      </c>
      <c r="P35" s="97">
        <f t="shared" si="0"/>
        <v>0</v>
      </c>
      <c r="Q35" s="98">
        <f t="shared" si="0"/>
        <v>0</v>
      </c>
      <c r="R35" s="97">
        <f t="shared" si="0"/>
        <v>0</v>
      </c>
      <c r="S35" s="97">
        <f t="shared" si="0"/>
        <v>0</v>
      </c>
      <c r="T35" s="97">
        <f t="shared" si="0"/>
        <v>0</v>
      </c>
      <c r="U35" s="97">
        <f t="shared" si="0"/>
        <v>0</v>
      </c>
      <c r="V35" s="98">
        <f t="shared" si="0"/>
        <v>0</v>
      </c>
      <c r="W35" s="97">
        <f t="shared" si="0"/>
        <v>0</v>
      </c>
      <c r="X35" s="97">
        <f t="shared" si="0"/>
        <v>0</v>
      </c>
      <c r="Y35" s="97">
        <f t="shared" si="0"/>
        <v>0</v>
      </c>
      <c r="Z35" s="97">
        <f t="shared" si="0"/>
        <v>0</v>
      </c>
      <c r="AA35" s="98">
        <f t="shared" si="0"/>
        <v>0</v>
      </c>
      <c r="AB35" s="97">
        <f aca="true" t="shared" si="1" ref="AB35:AP35">SUM(AB31:AB33)</f>
        <v>0</v>
      </c>
      <c r="AC35" s="97">
        <f t="shared" si="1"/>
        <v>0</v>
      </c>
      <c r="AD35" s="97">
        <f t="shared" si="1"/>
        <v>0</v>
      </c>
      <c r="AE35" s="97">
        <f t="shared" si="1"/>
        <v>0</v>
      </c>
      <c r="AF35" s="98">
        <f t="shared" si="1"/>
        <v>0</v>
      </c>
      <c r="AG35" s="97">
        <f t="shared" si="1"/>
        <v>0</v>
      </c>
      <c r="AH35" s="97">
        <f t="shared" si="1"/>
        <v>0</v>
      </c>
      <c r="AI35" s="97">
        <f t="shared" si="1"/>
        <v>0</v>
      </c>
      <c r="AJ35" s="97">
        <f t="shared" si="1"/>
        <v>0</v>
      </c>
      <c r="AK35" s="98"/>
      <c r="AL35" s="97"/>
      <c r="AM35" s="97">
        <f t="shared" si="1"/>
        <v>0</v>
      </c>
      <c r="AN35" s="97">
        <f t="shared" si="1"/>
        <v>0</v>
      </c>
      <c r="AO35" s="97">
        <f t="shared" si="1"/>
        <v>0</v>
      </c>
      <c r="AP35" s="98">
        <f t="shared" si="1"/>
        <v>0</v>
      </c>
    </row>
    <row r="36" spans="8:12" ht="12.75">
      <c r="H36" s="39"/>
      <c r="I36" s="39"/>
      <c r="J36" s="39"/>
      <c r="K36" s="39"/>
      <c r="L36" s="39"/>
    </row>
    <row r="37" spans="2:12" ht="15.75" thickBot="1">
      <c r="B37" s="34" t="s">
        <v>34</v>
      </c>
      <c r="H37" s="39"/>
      <c r="I37" s="39"/>
      <c r="J37" s="39"/>
      <c r="K37" s="39"/>
      <c r="L37" s="39"/>
    </row>
    <row r="38" spans="1:42" ht="30.75">
      <c r="A38" s="35" t="s">
        <v>45</v>
      </c>
      <c r="B38" s="36" t="s">
        <v>31</v>
      </c>
      <c r="C38" s="8" t="s">
        <v>40</v>
      </c>
      <c r="D38" s="8" t="s">
        <v>47</v>
      </c>
      <c r="E38" s="8" t="s">
        <v>48</v>
      </c>
      <c r="F38" s="8" t="s">
        <v>49</v>
      </c>
      <c r="G38" s="9" t="s">
        <v>50</v>
      </c>
      <c r="H38" s="8" t="s">
        <v>40</v>
      </c>
      <c r="I38" s="8" t="s">
        <v>47</v>
      </c>
      <c r="J38" s="8" t="s">
        <v>48</v>
      </c>
      <c r="K38" s="8" t="s">
        <v>49</v>
      </c>
      <c r="L38" s="9" t="s">
        <v>50</v>
      </c>
      <c r="M38" s="8" t="s">
        <v>40</v>
      </c>
      <c r="N38" s="8" t="s">
        <v>47</v>
      </c>
      <c r="O38" s="8" t="s">
        <v>48</v>
      </c>
      <c r="P38" s="8" t="s">
        <v>49</v>
      </c>
      <c r="Q38" s="9" t="s">
        <v>50</v>
      </c>
      <c r="R38" s="8" t="s">
        <v>40</v>
      </c>
      <c r="S38" s="8" t="s">
        <v>47</v>
      </c>
      <c r="T38" s="8" t="s">
        <v>48</v>
      </c>
      <c r="U38" s="8" t="s">
        <v>49</v>
      </c>
      <c r="V38" s="9" t="s">
        <v>50</v>
      </c>
      <c r="W38" s="8" t="s">
        <v>40</v>
      </c>
      <c r="X38" s="8" t="s">
        <v>47</v>
      </c>
      <c r="Y38" s="8" t="s">
        <v>48</v>
      </c>
      <c r="Z38" s="8" t="s">
        <v>49</v>
      </c>
      <c r="AA38" s="9" t="s">
        <v>50</v>
      </c>
      <c r="AB38" s="8" t="s">
        <v>40</v>
      </c>
      <c r="AC38" s="8" t="s">
        <v>47</v>
      </c>
      <c r="AD38" s="8" t="s">
        <v>48</v>
      </c>
      <c r="AE38" s="8" t="s">
        <v>49</v>
      </c>
      <c r="AF38" s="9" t="s">
        <v>50</v>
      </c>
      <c r="AG38" s="8" t="s">
        <v>40</v>
      </c>
      <c r="AH38" s="8" t="s">
        <v>47</v>
      </c>
      <c r="AI38" s="8" t="s">
        <v>48</v>
      </c>
      <c r="AJ38" s="8" t="s">
        <v>49</v>
      </c>
      <c r="AK38" s="9" t="s">
        <v>50</v>
      </c>
      <c r="AL38" s="8" t="s">
        <v>40</v>
      </c>
      <c r="AM38" s="8" t="s">
        <v>47</v>
      </c>
      <c r="AN38" s="8" t="s">
        <v>48</v>
      </c>
      <c r="AO38" s="8" t="s">
        <v>49</v>
      </c>
      <c r="AP38" s="9" t="s">
        <v>50</v>
      </c>
    </row>
    <row r="39" spans="1:42" ht="15">
      <c r="A39" s="43"/>
      <c r="B39" s="38" t="s">
        <v>85</v>
      </c>
      <c r="C39" s="79">
        <f>SUM(D39:G39)</f>
        <v>114.868752</v>
      </c>
      <c r="D39" s="80">
        <f>D24</f>
        <v>114.674129</v>
      </c>
      <c r="E39" s="80"/>
      <c r="F39" s="80">
        <f>F24</f>
        <v>0.194623</v>
      </c>
      <c r="G39" s="81"/>
      <c r="H39" s="96">
        <f>SUM(I39:L39)</f>
        <v>115.5</v>
      </c>
      <c r="I39" s="80">
        <f>I24</f>
        <v>115.3</v>
      </c>
      <c r="J39" s="80"/>
      <c r="K39" s="80">
        <f>K24</f>
        <v>0.2</v>
      </c>
      <c r="L39" s="81"/>
      <c r="M39" s="96">
        <f>SUM(N39:Q39)</f>
        <v>57.8</v>
      </c>
      <c r="N39" s="80">
        <f>N24</f>
        <v>57.702999999999996</v>
      </c>
      <c r="O39" s="80"/>
      <c r="P39" s="80">
        <f>P24</f>
        <v>0.097</v>
      </c>
      <c r="Q39" s="81"/>
      <c r="R39" s="96">
        <f>SUM(S39:V39)</f>
        <v>57.7</v>
      </c>
      <c r="S39" s="80">
        <f>S24</f>
        <v>57.597</v>
      </c>
      <c r="T39" s="80"/>
      <c r="U39" s="80">
        <f>U24</f>
        <v>0.103</v>
      </c>
      <c r="V39" s="81"/>
      <c r="W39" s="96">
        <f>SUM(X39:AA39)</f>
        <v>0</v>
      </c>
      <c r="X39" s="80"/>
      <c r="Y39" s="80"/>
      <c r="Z39" s="80"/>
      <c r="AA39" s="81"/>
      <c r="AB39" s="96">
        <f>SUM(AC39:AF39)</f>
        <v>59.9</v>
      </c>
      <c r="AC39" s="80">
        <f>AC24</f>
        <v>59.796</v>
      </c>
      <c r="AD39" s="80"/>
      <c r="AE39" s="80">
        <f>AE24</f>
        <v>0.104</v>
      </c>
      <c r="AF39" s="81"/>
      <c r="AG39" s="96">
        <f>SUM(AH39:AK39)</f>
        <v>59.8</v>
      </c>
      <c r="AH39" s="80">
        <f>AH24</f>
        <v>59.704</v>
      </c>
      <c r="AI39" s="80"/>
      <c r="AJ39" s="80">
        <f>AJ24</f>
        <v>0.096</v>
      </c>
      <c r="AK39" s="81"/>
      <c r="AL39" s="96">
        <f>SUM(AM39:AP39)</f>
        <v>119.7</v>
      </c>
      <c r="AM39" s="80">
        <f>AM24</f>
        <v>119.5</v>
      </c>
      <c r="AN39" s="80"/>
      <c r="AO39" s="80">
        <f>AO24</f>
        <v>0.2</v>
      </c>
      <c r="AP39" s="81"/>
    </row>
    <row r="40" spans="1:42" ht="15" hidden="1">
      <c r="A40" s="44"/>
      <c r="B40" s="45"/>
      <c r="C40" s="79">
        <f>SUM(D40:G40)</f>
        <v>0</v>
      </c>
      <c r="D40" s="80"/>
      <c r="E40" s="80"/>
      <c r="F40" s="80"/>
      <c r="G40" s="81"/>
      <c r="H40" s="96">
        <f>SUM(I40:L40)</f>
        <v>0</v>
      </c>
      <c r="I40" s="80"/>
      <c r="J40" s="80"/>
      <c r="K40" s="80"/>
      <c r="L40" s="81"/>
      <c r="M40" s="96">
        <f>SUM(N40:Q40)</f>
        <v>0</v>
      </c>
      <c r="N40" s="80"/>
      <c r="O40" s="80"/>
      <c r="P40" s="80"/>
      <c r="Q40" s="81"/>
      <c r="R40" s="96">
        <f>SUM(S40:V40)</f>
        <v>0</v>
      </c>
      <c r="S40" s="80"/>
      <c r="T40" s="80"/>
      <c r="U40" s="80"/>
      <c r="V40" s="81"/>
      <c r="W40" s="96">
        <f>SUM(X40:AA40)</f>
        <v>0</v>
      </c>
      <c r="X40" s="80"/>
      <c r="Y40" s="80"/>
      <c r="Z40" s="80"/>
      <c r="AA40" s="81"/>
      <c r="AB40" s="96">
        <f>SUM(AC40:AF40)</f>
        <v>0</v>
      </c>
      <c r="AC40" s="80"/>
      <c r="AD40" s="80"/>
      <c r="AE40" s="80"/>
      <c r="AF40" s="81"/>
      <c r="AG40" s="96">
        <f>SUM(AH40:AK40)</f>
        <v>0</v>
      </c>
      <c r="AH40" s="80"/>
      <c r="AI40" s="80"/>
      <c r="AJ40" s="80"/>
      <c r="AK40" s="81"/>
      <c r="AL40" s="96">
        <f>SUM(AM40:AP40)</f>
        <v>0</v>
      </c>
      <c r="AM40" s="80"/>
      <c r="AN40" s="80"/>
      <c r="AO40" s="80"/>
      <c r="AP40" s="81"/>
    </row>
    <row r="41" spans="1:42" ht="15" hidden="1">
      <c r="A41" s="44"/>
      <c r="B41" s="45"/>
      <c r="C41" s="79">
        <f>SUM(D41:G41)</f>
        <v>0</v>
      </c>
      <c r="D41" s="80"/>
      <c r="E41" s="80"/>
      <c r="F41" s="80"/>
      <c r="G41" s="81"/>
      <c r="H41" s="96">
        <f>SUM(I41:L41)</f>
        <v>0</v>
      </c>
      <c r="I41" s="80"/>
      <c r="J41" s="80"/>
      <c r="K41" s="80"/>
      <c r="L41" s="81"/>
      <c r="M41" s="96">
        <f>SUM(N41:Q41)</f>
        <v>0</v>
      </c>
      <c r="N41" s="80"/>
      <c r="O41" s="80"/>
      <c r="P41" s="80"/>
      <c r="Q41" s="81"/>
      <c r="R41" s="96">
        <f>SUM(S41:V41)</f>
        <v>0</v>
      </c>
      <c r="S41" s="80"/>
      <c r="T41" s="80"/>
      <c r="U41" s="80"/>
      <c r="V41" s="81"/>
      <c r="W41" s="96">
        <f>SUM(X41:AA41)</f>
        <v>0</v>
      </c>
      <c r="X41" s="80"/>
      <c r="Y41" s="80"/>
      <c r="Z41" s="80"/>
      <c r="AA41" s="81"/>
      <c r="AB41" s="96">
        <f>SUM(AC41:AF41)</f>
        <v>0</v>
      </c>
      <c r="AC41" s="80"/>
      <c r="AD41" s="80"/>
      <c r="AE41" s="80"/>
      <c r="AF41" s="81"/>
      <c r="AG41" s="96">
        <f>SUM(AH41:AK41)</f>
        <v>0</v>
      </c>
      <c r="AH41" s="80"/>
      <c r="AI41" s="80"/>
      <c r="AJ41" s="80"/>
      <c r="AK41" s="81"/>
      <c r="AL41" s="96">
        <f>SUM(AM41:AP41)</f>
        <v>0</v>
      </c>
      <c r="AM41" s="80"/>
      <c r="AN41" s="80"/>
      <c r="AO41" s="80"/>
      <c r="AP41" s="81"/>
    </row>
    <row r="42" spans="1:42" ht="13.5" thickBot="1">
      <c r="A42" s="208" t="s">
        <v>12</v>
      </c>
      <c r="B42" s="208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</row>
    <row r="43" spans="1:42" ht="15.75" thickBot="1">
      <c r="A43" s="41"/>
      <c r="B43" s="42" t="s">
        <v>46</v>
      </c>
      <c r="C43" s="85">
        <f aca="true" t="shared" si="2" ref="C43:AA43">SUM(C39:C41)</f>
        <v>114.868752</v>
      </c>
      <c r="D43" s="85">
        <f t="shared" si="2"/>
        <v>114.674129</v>
      </c>
      <c r="E43" s="85">
        <f t="shared" si="2"/>
        <v>0</v>
      </c>
      <c r="F43" s="85">
        <f t="shared" si="2"/>
        <v>0.194623</v>
      </c>
      <c r="G43" s="86">
        <f t="shared" si="2"/>
        <v>0</v>
      </c>
      <c r="H43" s="99">
        <f t="shared" si="2"/>
        <v>115.5</v>
      </c>
      <c r="I43" s="99">
        <f t="shared" si="2"/>
        <v>115.3</v>
      </c>
      <c r="J43" s="99">
        <f t="shared" si="2"/>
        <v>0</v>
      </c>
      <c r="K43" s="99">
        <f t="shared" si="2"/>
        <v>0.2</v>
      </c>
      <c r="L43" s="100">
        <f t="shared" si="2"/>
        <v>0</v>
      </c>
      <c r="M43" s="99">
        <f t="shared" si="2"/>
        <v>57.8</v>
      </c>
      <c r="N43" s="99">
        <f t="shared" si="2"/>
        <v>57.702999999999996</v>
      </c>
      <c r="O43" s="99">
        <f t="shared" si="2"/>
        <v>0</v>
      </c>
      <c r="P43" s="99">
        <f t="shared" si="2"/>
        <v>0.097</v>
      </c>
      <c r="Q43" s="100">
        <f t="shared" si="2"/>
        <v>0</v>
      </c>
      <c r="R43" s="99">
        <f t="shared" si="2"/>
        <v>57.7</v>
      </c>
      <c r="S43" s="99">
        <f t="shared" si="2"/>
        <v>57.597</v>
      </c>
      <c r="T43" s="99">
        <f t="shared" si="2"/>
        <v>0</v>
      </c>
      <c r="U43" s="99">
        <f t="shared" si="2"/>
        <v>0.103</v>
      </c>
      <c r="V43" s="100">
        <f t="shared" si="2"/>
        <v>0</v>
      </c>
      <c r="W43" s="99">
        <f t="shared" si="2"/>
        <v>0</v>
      </c>
      <c r="X43" s="99">
        <f t="shared" si="2"/>
        <v>0</v>
      </c>
      <c r="Y43" s="99">
        <f t="shared" si="2"/>
        <v>0</v>
      </c>
      <c r="Z43" s="99">
        <f t="shared" si="2"/>
        <v>0</v>
      </c>
      <c r="AA43" s="100">
        <f t="shared" si="2"/>
        <v>0</v>
      </c>
      <c r="AB43" s="99">
        <f aca="true" t="shared" si="3" ref="AB43:AP43">SUM(AB39:AB41)</f>
        <v>59.9</v>
      </c>
      <c r="AC43" s="99">
        <f t="shared" si="3"/>
        <v>59.796</v>
      </c>
      <c r="AD43" s="99">
        <f t="shared" si="3"/>
        <v>0</v>
      </c>
      <c r="AE43" s="99">
        <f t="shared" si="3"/>
        <v>0.104</v>
      </c>
      <c r="AF43" s="100">
        <f t="shared" si="3"/>
        <v>0</v>
      </c>
      <c r="AG43" s="99">
        <f t="shared" si="3"/>
        <v>59.8</v>
      </c>
      <c r="AH43" s="99">
        <f t="shared" si="3"/>
        <v>59.704</v>
      </c>
      <c r="AI43" s="99">
        <f t="shared" si="3"/>
        <v>0</v>
      </c>
      <c r="AJ43" s="99">
        <f t="shared" si="3"/>
        <v>0.096</v>
      </c>
      <c r="AK43" s="100">
        <f t="shared" si="3"/>
        <v>0</v>
      </c>
      <c r="AL43" s="99">
        <f t="shared" si="3"/>
        <v>119.7</v>
      </c>
      <c r="AM43" s="99">
        <f t="shared" si="3"/>
        <v>119.5</v>
      </c>
      <c r="AN43" s="99">
        <f t="shared" si="3"/>
        <v>0</v>
      </c>
      <c r="AO43" s="99">
        <f t="shared" si="3"/>
        <v>0.2</v>
      </c>
      <c r="AP43" s="100">
        <f t="shared" si="3"/>
        <v>0</v>
      </c>
    </row>
    <row r="44" spans="8:12" ht="12.75">
      <c r="H44" s="39"/>
      <c r="I44" s="39"/>
      <c r="J44" s="39"/>
      <c r="K44" s="39"/>
      <c r="L44" s="39"/>
    </row>
    <row r="45" spans="2:12" ht="15.75" thickBot="1">
      <c r="B45" s="34" t="s">
        <v>35</v>
      </c>
      <c r="H45" s="39"/>
      <c r="I45" s="39"/>
      <c r="J45" s="39"/>
      <c r="K45" s="39"/>
      <c r="L45" s="39"/>
    </row>
    <row r="46" spans="1:42" ht="46.5">
      <c r="A46" s="35" t="s">
        <v>45</v>
      </c>
      <c r="B46" s="36" t="s">
        <v>32</v>
      </c>
      <c r="C46" s="8" t="s">
        <v>40</v>
      </c>
      <c r="D46" s="8" t="s">
        <v>47</v>
      </c>
      <c r="E46" s="8" t="s">
        <v>48</v>
      </c>
      <c r="F46" s="8" t="s">
        <v>49</v>
      </c>
      <c r="G46" s="9" t="s">
        <v>50</v>
      </c>
      <c r="H46" s="8" t="s">
        <v>40</v>
      </c>
      <c r="I46" s="8" t="s">
        <v>47</v>
      </c>
      <c r="J46" s="8" t="s">
        <v>48</v>
      </c>
      <c r="K46" s="8" t="s">
        <v>49</v>
      </c>
      <c r="L46" s="9" t="s">
        <v>50</v>
      </c>
      <c r="M46" s="8" t="s">
        <v>40</v>
      </c>
      <c r="N46" s="8" t="s">
        <v>47</v>
      </c>
      <c r="O46" s="8" t="s">
        <v>48</v>
      </c>
      <c r="P46" s="8" t="s">
        <v>49</v>
      </c>
      <c r="Q46" s="9" t="s">
        <v>50</v>
      </c>
      <c r="R46" s="8" t="s">
        <v>40</v>
      </c>
      <c r="S46" s="8" t="s">
        <v>47</v>
      </c>
      <c r="T46" s="8" t="s">
        <v>48</v>
      </c>
      <c r="U46" s="8" t="s">
        <v>49</v>
      </c>
      <c r="V46" s="9" t="s">
        <v>50</v>
      </c>
      <c r="W46" s="8" t="s">
        <v>40</v>
      </c>
      <c r="X46" s="8" t="s">
        <v>47</v>
      </c>
      <c r="Y46" s="8" t="s">
        <v>48</v>
      </c>
      <c r="Z46" s="8" t="s">
        <v>49</v>
      </c>
      <c r="AA46" s="9" t="s">
        <v>50</v>
      </c>
      <c r="AB46" s="8" t="s">
        <v>40</v>
      </c>
      <c r="AC46" s="8" t="s">
        <v>47</v>
      </c>
      <c r="AD46" s="8" t="s">
        <v>48</v>
      </c>
      <c r="AE46" s="8" t="s">
        <v>49</v>
      </c>
      <c r="AF46" s="9" t="s">
        <v>50</v>
      </c>
      <c r="AG46" s="8" t="s">
        <v>40</v>
      </c>
      <c r="AH46" s="8" t="s">
        <v>47</v>
      </c>
      <c r="AI46" s="8" t="s">
        <v>48</v>
      </c>
      <c r="AJ46" s="8" t="s">
        <v>49</v>
      </c>
      <c r="AK46" s="9" t="s">
        <v>50</v>
      </c>
      <c r="AL46" s="8" t="s">
        <v>40</v>
      </c>
      <c r="AM46" s="8" t="s">
        <v>47</v>
      </c>
      <c r="AN46" s="8" t="s">
        <v>48</v>
      </c>
      <c r="AO46" s="8" t="s">
        <v>49</v>
      </c>
      <c r="AP46" s="9" t="s">
        <v>50</v>
      </c>
    </row>
    <row r="47" spans="1:42" ht="15">
      <c r="A47" s="37" t="s">
        <v>41</v>
      </c>
      <c r="B47" s="121" t="s">
        <v>84</v>
      </c>
      <c r="C47" s="79">
        <f>SUM(D47:G47)</f>
        <v>26.623191</v>
      </c>
      <c r="D47" s="80">
        <f>D22</f>
        <v>24.405265</v>
      </c>
      <c r="E47" s="80"/>
      <c r="F47" s="80">
        <f>F22</f>
        <v>2.2179260000000003</v>
      </c>
      <c r="G47" s="81"/>
      <c r="H47" s="96">
        <f>SUM(I47:L47)</f>
        <v>27.18</v>
      </c>
      <c r="I47" s="80">
        <f>I22</f>
        <v>24.88</v>
      </c>
      <c r="J47" s="80"/>
      <c r="K47" s="80">
        <f>K22</f>
        <v>2.3</v>
      </c>
      <c r="L47" s="81"/>
      <c r="M47" s="96">
        <f>SUM(N47:Q47)</f>
        <v>17.827</v>
      </c>
      <c r="N47" s="80">
        <f>N22</f>
        <v>17.384</v>
      </c>
      <c r="O47" s="80"/>
      <c r="P47" s="80">
        <f>P22</f>
        <v>0.443</v>
      </c>
      <c r="Q47" s="81"/>
      <c r="R47" s="96">
        <f>SUM(S47:V47)</f>
        <v>17.377</v>
      </c>
      <c r="S47" s="80">
        <f>S22</f>
        <v>16.77</v>
      </c>
      <c r="T47" s="80"/>
      <c r="U47" s="80">
        <f>U22</f>
        <v>0.607</v>
      </c>
      <c r="V47" s="81"/>
      <c r="W47" s="96">
        <f>SUM(X47:AA47)</f>
        <v>35.204</v>
      </c>
      <c r="X47" s="80">
        <f>X22</f>
        <v>34.154</v>
      </c>
      <c r="Y47" s="80"/>
      <c r="Z47" s="80">
        <f>Z22</f>
        <v>1.05</v>
      </c>
      <c r="AA47" s="81"/>
      <c r="AB47" s="96">
        <f>SUM(AC47:AF47)</f>
        <v>13.79</v>
      </c>
      <c r="AC47" s="80">
        <f>AC22</f>
        <v>12.489999999999998</v>
      </c>
      <c r="AD47" s="80"/>
      <c r="AE47" s="80">
        <f>AE22</f>
        <v>1.3</v>
      </c>
      <c r="AF47" s="81"/>
      <c r="AG47" s="96">
        <f>SUM(AH47:AK47)</f>
        <v>14.31</v>
      </c>
      <c r="AH47" s="80">
        <f>AH22</f>
        <v>13.01</v>
      </c>
      <c r="AI47" s="80"/>
      <c r="AJ47" s="80">
        <f>AJ22</f>
        <v>1.3</v>
      </c>
      <c r="AK47" s="81"/>
      <c r="AL47" s="96">
        <f>SUM(AM47:AP47)</f>
        <v>28.1</v>
      </c>
      <c r="AM47" s="80">
        <f>AM22</f>
        <v>25.5</v>
      </c>
      <c r="AN47" s="80"/>
      <c r="AO47" s="80">
        <f>AO22</f>
        <v>2.6</v>
      </c>
      <c r="AP47" s="81"/>
    </row>
    <row r="48" spans="1:42" ht="15" hidden="1">
      <c r="A48" s="37" t="s">
        <v>42</v>
      </c>
      <c r="B48" s="38"/>
      <c r="C48" s="79">
        <f>SUM(D48:G48)</f>
        <v>0</v>
      </c>
      <c r="D48" s="80"/>
      <c r="E48" s="80"/>
      <c r="F48" s="80">
        <v>0</v>
      </c>
      <c r="G48" s="81">
        <v>0</v>
      </c>
      <c r="H48" s="96">
        <f>SUM(I48:L48)</f>
        <v>0</v>
      </c>
      <c r="I48" s="80"/>
      <c r="J48" s="80"/>
      <c r="K48" s="80">
        <v>0</v>
      </c>
      <c r="L48" s="81">
        <v>0</v>
      </c>
      <c r="M48" s="96">
        <f>SUM(N48:Q48)</f>
        <v>0</v>
      </c>
      <c r="N48" s="80"/>
      <c r="O48" s="80"/>
      <c r="P48" s="80">
        <v>0</v>
      </c>
      <c r="Q48" s="81">
        <v>0</v>
      </c>
      <c r="R48" s="96">
        <f>SUM(S48:V48)</f>
        <v>0</v>
      </c>
      <c r="S48" s="80"/>
      <c r="T48" s="80"/>
      <c r="U48" s="80">
        <v>0</v>
      </c>
      <c r="V48" s="81">
        <v>0</v>
      </c>
      <c r="W48" s="96">
        <f>SUM(X48:AA48)</f>
        <v>0</v>
      </c>
      <c r="X48" s="80"/>
      <c r="Y48" s="80"/>
      <c r="Z48" s="80"/>
      <c r="AA48" s="81"/>
      <c r="AB48" s="96">
        <f>SUM(AC48:AF48)</f>
        <v>0</v>
      </c>
      <c r="AC48" s="80"/>
      <c r="AD48" s="80"/>
      <c r="AE48" s="80"/>
      <c r="AF48" s="81"/>
      <c r="AG48" s="96">
        <f>SUM(AH48:AK48)</f>
        <v>0</v>
      </c>
      <c r="AH48" s="80"/>
      <c r="AI48" s="80"/>
      <c r="AJ48" s="80"/>
      <c r="AK48" s="81"/>
      <c r="AL48" s="96">
        <f>SUM(AM48:AP48)</f>
        <v>0</v>
      </c>
      <c r="AM48" s="80"/>
      <c r="AN48" s="80"/>
      <c r="AO48" s="80"/>
      <c r="AP48" s="81"/>
    </row>
    <row r="49" spans="1:42" ht="15" hidden="1">
      <c r="A49" s="37"/>
      <c r="B49" s="38"/>
      <c r="C49" s="79">
        <f>SUM(D49:G49)</f>
        <v>0</v>
      </c>
      <c r="D49" s="80"/>
      <c r="E49" s="80"/>
      <c r="F49" s="80"/>
      <c r="G49" s="81"/>
      <c r="H49" s="96">
        <f>SUM(I49:L49)</f>
        <v>0</v>
      </c>
      <c r="I49" s="80"/>
      <c r="J49" s="80"/>
      <c r="K49" s="80"/>
      <c r="L49" s="81"/>
      <c r="M49" s="96">
        <f>SUM(N49:Q49)</f>
        <v>0</v>
      </c>
      <c r="N49" s="80"/>
      <c r="O49" s="80"/>
      <c r="P49" s="80"/>
      <c r="Q49" s="81"/>
      <c r="R49" s="96">
        <f>SUM(S49:V49)</f>
        <v>0</v>
      </c>
      <c r="S49" s="80"/>
      <c r="T49" s="80"/>
      <c r="U49" s="80"/>
      <c r="V49" s="81"/>
      <c r="W49" s="96">
        <f>SUM(X49:AA49)</f>
        <v>0</v>
      </c>
      <c r="X49" s="80"/>
      <c r="Y49" s="80"/>
      <c r="Z49" s="80"/>
      <c r="AA49" s="81"/>
      <c r="AB49" s="96">
        <f>SUM(AC49:AF49)</f>
        <v>0</v>
      </c>
      <c r="AC49" s="80"/>
      <c r="AD49" s="80"/>
      <c r="AE49" s="80"/>
      <c r="AF49" s="81"/>
      <c r="AG49" s="96">
        <f>SUM(AH49:AK49)</f>
        <v>0</v>
      </c>
      <c r="AH49" s="80"/>
      <c r="AI49" s="80"/>
      <c r="AJ49" s="80"/>
      <c r="AK49" s="81"/>
      <c r="AL49" s="96">
        <f>SUM(AM49:AP49)</f>
        <v>0</v>
      </c>
      <c r="AM49" s="80"/>
      <c r="AN49" s="80"/>
      <c r="AO49" s="80"/>
      <c r="AP49" s="81"/>
    </row>
    <row r="50" spans="1:42" ht="13.5" thickBot="1">
      <c r="A50" s="208" t="s">
        <v>12</v>
      </c>
      <c r="B50" s="208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</row>
    <row r="51" spans="1:42" ht="15.75" thickBot="1">
      <c r="A51" s="41"/>
      <c r="B51" s="42" t="s">
        <v>46</v>
      </c>
      <c r="C51" s="87">
        <f aca="true" t="shared" si="4" ref="C51:AA51">SUM(C47:C49)</f>
        <v>26.623191</v>
      </c>
      <c r="D51" s="87">
        <f t="shared" si="4"/>
        <v>24.405265</v>
      </c>
      <c r="E51" s="87">
        <f t="shared" si="4"/>
        <v>0</v>
      </c>
      <c r="F51" s="87">
        <f t="shared" si="4"/>
        <v>2.2179260000000003</v>
      </c>
      <c r="G51" s="88">
        <f t="shared" si="4"/>
        <v>0</v>
      </c>
      <c r="H51" s="101">
        <f t="shared" si="4"/>
        <v>27.18</v>
      </c>
      <c r="I51" s="101">
        <f t="shared" si="4"/>
        <v>24.88</v>
      </c>
      <c r="J51" s="101">
        <f t="shared" si="4"/>
        <v>0</v>
      </c>
      <c r="K51" s="101">
        <f t="shared" si="4"/>
        <v>2.3</v>
      </c>
      <c r="L51" s="102">
        <f t="shared" si="4"/>
        <v>0</v>
      </c>
      <c r="M51" s="101">
        <f t="shared" si="4"/>
        <v>17.827</v>
      </c>
      <c r="N51" s="101">
        <f t="shared" si="4"/>
        <v>17.384</v>
      </c>
      <c r="O51" s="101">
        <f t="shared" si="4"/>
        <v>0</v>
      </c>
      <c r="P51" s="101">
        <f t="shared" si="4"/>
        <v>0.443</v>
      </c>
      <c r="Q51" s="102">
        <f t="shared" si="4"/>
        <v>0</v>
      </c>
      <c r="R51" s="101">
        <f t="shared" si="4"/>
        <v>17.377</v>
      </c>
      <c r="S51" s="101">
        <f t="shared" si="4"/>
        <v>16.77</v>
      </c>
      <c r="T51" s="101">
        <f t="shared" si="4"/>
        <v>0</v>
      </c>
      <c r="U51" s="101">
        <f t="shared" si="4"/>
        <v>0.607</v>
      </c>
      <c r="V51" s="102">
        <f t="shared" si="4"/>
        <v>0</v>
      </c>
      <c r="W51" s="101">
        <f t="shared" si="4"/>
        <v>35.204</v>
      </c>
      <c r="X51" s="101">
        <f t="shared" si="4"/>
        <v>34.154</v>
      </c>
      <c r="Y51" s="101">
        <f t="shared" si="4"/>
        <v>0</v>
      </c>
      <c r="Z51" s="101">
        <f t="shared" si="4"/>
        <v>1.05</v>
      </c>
      <c r="AA51" s="102">
        <f t="shared" si="4"/>
        <v>0</v>
      </c>
      <c r="AB51" s="101">
        <f aca="true" t="shared" si="5" ref="AB51:AP51">SUM(AB47:AB49)</f>
        <v>13.79</v>
      </c>
      <c r="AC51" s="101">
        <f t="shared" si="5"/>
        <v>12.489999999999998</v>
      </c>
      <c r="AD51" s="101">
        <f t="shared" si="5"/>
        <v>0</v>
      </c>
      <c r="AE51" s="101">
        <f t="shared" si="5"/>
        <v>1.3</v>
      </c>
      <c r="AF51" s="102">
        <f t="shared" si="5"/>
        <v>0</v>
      </c>
      <c r="AG51" s="101">
        <f t="shared" si="5"/>
        <v>14.31</v>
      </c>
      <c r="AH51" s="101">
        <f t="shared" si="5"/>
        <v>13.01</v>
      </c>
      <c r="AI51" s="101">
        <f t="shared" si="5"/>
        <v>0</v>
      </c>
      <c r="AJ51" s="101">
        <f t="shared" si="5"/>
        <v>1.3</v>
      </c>
      <c r="AK51" s="102">
        <f t="shared" si="5"/>
        <v>0</v>
      </c>
      <c r="AL51" s="101">
        <f t="shared" si="5"/>
        <v>28.1</v>
      </c>
      <c r="AM51" s="101">
        <f t="shared" si="5"/>
        <v>25.5</v>
      </c>
      <c r="AN51" s="101">
        <f t="shared" si="5"/>
        <v>0</v>
      </c>
      <c r="AO51" s="101">
        <f t="shared" si="5"/>
        <v>2.6</v>
      </c>
      <c r="AP51" s="102">
        <f t="shared" si="5"/>
        <v>0</v>
      </c>
    </row>
    <row r="54" spans="2:27" ht="15">
      <c r="B54" s="124" t="s">
        <v>91</v>
      </c>
      <c r="K54" s="127"/>
      <c r="N54" s="127" t="s">
        <v>95</v>
      </c>
      <c r="S54" s="130"/>
      <c r="AA54" s="130" t="s">
        <v>98</v>
      </c>
    </row>
    <row r="55" spans="2:27" ht="13.5">
      <c r="B55" s="125" t="s">
        <v>92</v>
      </c>
      <c r="K55" s="127"/>
      <c r="N55" s="127" t="s">
        <v>96</v>
      </c>
      <c r="S55" s="127"/>
      <c r="AA55" s="127" t="s">
        <v>99</v>
      </c>
    </row>
    <row r="56" spans="2:27" ht="13.5">
      <c r="B56" s="126" t="s">
        <v>93</v>
      </c>
      <c r="K56" s="128"/>
      <c r="N56" s="128" t="s">
        <v>97</v>
      </c>
      <c r="S56" s="128"/>
      <c r="AA56" s="128" t="s">
        <v>100</v>
      </c>
    </row>
    <row r="57" spans="2:27" ht="13.5">
      <c r="B57" s="125" t="s">
        <v>94</v>
      </c>
      <c r="S57" s="126"/>
      <c r="AA57" s="126" t="s">
        <v>93</v>
      </c>
    </row>
  </sheetData>
  <sheetProtection password="FA9C" sheet="1" objects="1" scenarios="1" formatColumns="0" formatRows="0"/>
  <protectedRanges>
    <protectedRange sqref="T11 V11:V12 I14:L17 I19:L20 E11 G11:G12 D14:G17 S14:V17 A47:B49 X22:AA24 I22:L24 J11 O11 Q11:Q12 N14:Q17 N19:Q20 N22:Q24 S22:V24 L11:L12 D19:G20 D22:G24 Y11 AA11:AA12 X14:AA17 S19:V20 A39:B41 A31:B33 X19:AA20" name="Диапазон1"/>
  </protectedRanges>
  <mergeCells count="16">
    <mergeCell ref="AG5:AK5"/>
    <mergeCell ref="AL5:AP5"/>
    <mergeCell ref="A42:B42"/>
    <mergeCell ref="R5:V5"/>
    <mergeCell ref="Z1:AA1"/>
    <mergeCell ref="A3:AA3"/>
    <mergeCell ref="W5:AA5"/>
    <mergeCell ref="A5:A6"/>
    <mergeCell ref="B5:B6"/>
    <mergeCell ref="Z2:AA2"/>
    <mergeCell ref="A50:B50"/>
    <mergeCell ref="C5:G5"/>
    <mergeCell ref="H5:L5"/>
    <mergeCell ref="M5:Q5"/>
    <mergeCell ref="A34:B34"/>
    <mergeCell ref="AB5:AF5"/>
  </mergeCells>
  <hyperlinks>
    <hyperlink ref="A34:B34" location="'Баланс энергии'!A30" display="Добавить"/>
    <hyperlink ref="A42:B42" location="'Баланс энергии'!A36" display="Добавить"/>
    <hyperlink ref="A50:B50" location="'Баланс энергии'!A36" display="Добавить"/>
  </hyperlinks>
  <printOptions/>
  <pageMargins left="0.5511811023622047" right="0.15748031496062992" top="1.3779527559055118" bottom="0.1968503937007874" header="0.5118110236220472" footer="0.5118110236220472"/>
  <pageSetup horizontalDpi="600" verticalDpi="600" orientation="landscape" paperSize="8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P61"/>
  <sheetViews>
    <sheetView tabSelected="1" zoomScale="90" zoomScaleNormal="90" zoomScaleSheetLayoutView="90" zoomScalePageLayoutView="0" workbookViewId="0" topLeftCell="A2">
      <pane xSplit="2" ySplit="6" topLeftCell="AC8" activePane="bottomRight" state="frozen"/>
      <selection pane="topLeft" activeCell="A2" sqref="A2"/>
      <selection pane="topRight" activeCell="C2" sqref="C2"/>
      <selection pane="bottomLeft" activeCell="A8" sqref="A8"/>
      <selection pane="bottomRight" activeCell="AH61" sqref="AH61"/>
    </sheetView>
  </sheetViews>
  <sheetFormatPr defaultColWidth="9.125" defaultRowHeight="12.75"/>
  <cols>
    <col min="1" max="1" width="5.50390625" style="2" customWidth="1"/>
    <col min="2" max="2" width="30.50390625" style="2" customWidth="1"/>
    <col min="3" max="3" width="8.125" style="2" customWidth="1"/>
    <col min="4" max="4" width="8.375" style="2" customWidth="1"/>
    <col min="5" max="5" width="4.50390625" style="2" customWidth="1"/>
    <col min="6" max="6" width="7.375" style="2" customWidth="1"/>
    <col min="7" max="7" width="7.00390625" style="2" customWidth="1"/>
    <col min="8" max="8" width="8.625" style="2" customWidth="1"/>
    <col min="9" max="9" width="8.375" style="2" customWidth="1"/>
    <col min="10" max="10" width="4.625" style="2" customWidth="1"/>
    <col min="11" max="11" width="7.50390625" style="2" customWidth="1"/>
    <col min="12" max="13" width="8.50390625" style="2" customWidth="1"/>
    <col min="14" max="14" width="8.375" style="2" customWidth="1"/>
    <col min="15" max="15" width="4.50390625" style="2" customWidth="1"/>
    <col min="16" max="17" width="7.50390625" style="2" customWidth="1"/>
    <col min="18" max="18" width="8.375" style="2" customWidth="1"/>
    <col min="19" max="19" width="8.50390625" style="2" customWidth="1"/>
    <col min="20" max="20" width="4.625" style="2" customWidth="1"/>
    <col min="21" max="21" width="7.125" style="2" customWidth="1"/>
    <col min="22" max="22" width="7.00390625" style="2" customWidth="1"/>
    <col min="23" max="23" width="8.375" style="2" customWidth="1"/>
    <col min="24" max="24" width="8.50390625" style="2" customWidth="1"/>
    <col min="25" max="25" width="4.625" style="2" customWidth="1"/>
    <col min="26" max="26" width="7.50390625" style="2" customWidth="1"/>
    <col min="27" max="27" width="7.00390625" style="2" customWidth="1"/>
    <col min="28" max="28" width="9.375" style="2" customWidth="1"/>
    <col min="29" max="29" width="8.875" style="2" customWidth="1"/>
    <col min="30" max="30" width="4.625" style="2" customWidth="1"/>
    <col min="31" max="31" width="9.875" style="2" customWidth="1"/>
    <col min="32" max="32" width="8.00390625" style="2" customWidth="1"/>
    <col min="33" max="33" width="9.50390625" style="2" customWidth="1"/>
    <col min="34" max="34" width="8.125" style="2" customWidth="1"/>
    <col min="35" max="35" width="4.875" style="2" customWidth="1"/>
    <col min="36" max="36" width="7.625" style="2" customWidth="1"/>
    <col min="37" max="37" width="8.50390625" style="2" customWidth="1"/>
    <col min="38" max="38" width="9.125" style="2" customWidth="1"/>
    <col min="39" max="39" width="8.125" style="2" customWidth="1"/>
    <col min="40" max="40" width="4.875" style="2" customWidth="1"/>
    <col min="41" max="42" width="7.50390625" style="2" customWidth="1"/>
    <col min="43" max="16384" width="9.125" style="2" customWidth="1"/>
  </cols>
  <sheetData>
    <row r="1" spans="11:27" ht="15">
      <c r="K1" s="220"/>
      <c r="L1" s="220"/>
      <c r="Z1" s="220" t="s">
        <v>37</v>
      </c>
      <c r="AA1" s="220"/>
    </row>
    <row r="2" spans="1:27" ht="15">
      <c r="A2" s="3"/>
      <c r="B2" s="4"/>
      <c r="C2" s="5"/>
      <c r="D2" s="5"/>
      <c r="E2" s="5"/>
      <c r="F2" s="5"/>
      <c r="G2" s="5"/>
      <c r="H2" s="5"/>
      <c r="I2" s="5"/>
      <c r="J2" s="5"/>
      <c r="K2" s="5"/>
      <c r="L2" s="46"/>
      <c r="Z2" s="5"/>
      <c r="AA2" s="46"/>
    </row>
    <row r="3" spans="1:12" ht="25.5" customHeight="1">
      <c r="A3" s="221" t="s">
        <v>102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</row>
    <row r="4" spans="1:12" ht="13.5" thickBot="1">
      <c r="A4" s="5"/>
      <c r="B4" s="6"/>
      <c r="C4" s="5"/>
      <c r="D4" s="5"/>
      <c r="E4" s="5"/>
      <c r="F4" s="5"/>
      <c r="G4" s="5"/>
      <c r="H4" s="5"/>
      <c r="I4" s="5"/>
      <c r="J4" s="5"/>
      <c r="K4" s="5"/>
      <c r="L4" s="5"/>
    </row>
    <row r="5" spans="1:42" s="1" customFormat="1" ht="18.75" customHeight="1">
      <c r="A5" s="209" t="s">
        <v>56</v>
      </c>
      <c r="B5" s="222" t="s">
        <v>39</v>
      </c>
      <c r="C5" s="209" t="s">
        <v>74</v>
      </c>
      <c r="D5" s="210"/>
      <c r="E5" s="210"/>
      <c r="F5" s="210"/>
      <c r="G5" s="211"/>
      <c r="H5" s="209" t="s">
        <v>69</v>
      </c>
      <c r="I5" s="210"/>
      <c r="J5" s="210"/>
      <c r="K5" s="210"/>
      <c r="L5" s="211"/>
      <c r="M5" s="209" t="s">
        <v>75</v>
      </c>
      <c r="N5" s="210"/>
      <c r="O5" s="210"/>
      <c r="P5" s="210"/>
      <c r="Q5" s="211"/>
      <c r="R5" s="209" t="s">
        <v>81</v>
      </c>
      <c r="S5" s="210"/>
      <c r="T5" s="210"/>
      <c r="U5" s="210"/>
      <c r="V5" s="211"/>
      <c r="W5" s="209" t="s">
        <v>76</v>
      </c>
      <c r="X5" s="210"/>
      <c r="Y5" s="210"/>
      <c r="Z5" s="210"/>
      <c r="AA5" s="211"/>
      <c r="AB5" s="209" t="s">
        <v>77</v>
      </c>
      <c r="AC5" s="210"/>
      <c r="AD5" s="210"/>
      <c r="AE5" s="210"/>
      <c r="AF5" s="211"/>
      <c r="AG5" s="209" t="s">
        <v>78</v>
      </c>
      <c r="AH5" s="210"/>
      <c r="AI5" s="210"/>
      <c r="AJ5" s="210"/>
      <c r="AK5" s="211"/>
      <c r="AL5" s="209" t="s">
        <v>79</v>
      </c>
      <c r="AM5" s="210"/>
      <c r="AN5" s="210"/>
      <c r="AO5" s="210"/>
      <c r="AP5" s="211"/>
    </row>
    <row r="6" spans="1:42" s="1" customFormat="1" ht="42.75" customHeight="1" thickBot="1">
      <c r="A6" s="215"/>
      <c r="B6" s="223"/>
      <c r="C6" s="10" t="s">
        <v>40</v>
      </c>
      <c r="D6" s="11" t="s">
        <v>47</v>
      </c>
      <c r="E6" s="11" t="s">
        <v>48</v>
      </c>
      <c r="F6" s="11" t="s">
        <v>49</v>
      </c>
      <c r="G6" s="12" t="s">
        <v>50</v>
      </c>
      <c r="H6" s="10" t="s">
        <v>40</v>
      </c>
      <c r="I6" s="11" t="s">
        <v>47</v>
      </c>
      <c r="J6" s="11" t="s">
        <v>48</v>
      </c>
      <c r="K6" s="11" t="s">
        <v>49</v>
      </c>
      <c r="L6" s="12" t="s">
        <v>50</v>
      </c>
      <c r="M6" s="10" t="s">
        <v>40</v>
      </c>
      <c r="N6" s="11" t="s">
        <v>47</v>
      </c>
      <c r="O6" s="11" t="s">
        <v>48</v>
      </c>
      <c r="P6" s="11" t="s">
        <v>49</v>
      </c>
      <c r="Q6" s="12" t="s">
        <v>50</v>
      </c>
      <c r="R6" s="10" t="s">
        <v>40</v>
      </c>
      <c r="S6" s="11" t="s">
        <v>47</v>
      </c>
      <c r="T6" s="11" t="s">
        <v>48</v>
      </c>
      <c r="U6" s="11" t="s">
        <v>49</v>
      </c>
      <c r="V6" s="12" t="s">
        <v>50</v>
      </c>
      <c r="W6" s="10" t="s">
        <v>40</v>
      </c>
      <c r="X6" s="11" t="s">
        <v>47</v>
      </c>
      <c r="Y6" s="11" t="s">
        <v>48</v>
      </c>
      <c r="Z6" s="11" t="s">
        <v>49</v>
      </c>
      <c r="AA6" s="12" t="s">
        <v>50</v>
      </c>
      <c r="AB6" s="10" t="s">
        <v>40</v>
      </c>
      <c r="AC6" s="11" t="s">
        <v>47</v>
      </c>
      <c r="AD6" s="11" t="s">
        <v>48</v>
      </c>
      <c r="AE6" s="11" t="s">
        <v>49</v>
      </c>
      <c r="AF6" s="12" t="s">
        <v>50</v>
      </c>
      <c r="AG6" s="10" t="s">
        <v>40</v>
      </c>
      <c r="AH6" s="11" t="s">
        <v>47</v>
      </c>
      <c r="AI6" s="11" t="s">
        <v>48</v>
      </c>
      <c r="AJ6" s="11" t="s">
        <v>49</v>
      </c>
      <c r="AK6" s="12" t="s">
        <v>50</v>
      </c>
      <c r="AL6" s="10" t="s">
        <v>40</v>
      </c>
      <c r="AM6" s="11" t="s">
        <v>47</v>
      </c>
      <c r="AN6" s="11" t="s">
        <v>48</v>
      </c>
      <c r="AO6" s="11" t="s">
        <v>49</v>
      </c>
      <c r="AP6" s="12" t="s">
        <v>50</v>
      </c>
    </row>
    <row r="7" spans="1:42" s="17" customFormat="1" ht="13.5" thickBot="1">
      <c r="A7" s="13">
        <v>1</v>
      </c>
      <c r="B7" s="14">
        <v>2</v>
      </c>
      <c r="C7" s="13">
        <v>3</v>
      </c>
      <c r="D7" s="15">
        <v>4</v>
      </c>
      <c r="E7" s="15">
        <v>5</v>
      </c>
      <c r="F7" s="15">
        <v>6</v>
      </c>
      <c r="G7" s="16">
        <v>7</v>
      </c>
      <c r="H7" s="13">
        <v>8</v>
      </c>
      <c r="I7" s="15">
        <v>9</v>
      </c>
      <c r="J7" s="15">
        <v>10</v>
      </c>
      <c r="K7" s="15">
        <v>11</v>
      </c>
      <c r="L7" s="16">
        <v>12</v>
      </c>
      <c r="M7" s="13">
        <v>13</v>
      </c>
      <c r="N7" s="15">
        <v>14</v>
      </c>
      <c r="O7" s="15">
        <v>15</v>
      </c>
      <c r="P7" s="15">
        <v>16</v>
      </c>
      <c r="Q7" s="16">
        <v>17</v>
      </c>
      <c r="R7" s="13">
        <v>18</v>
      </c>
      <c r="S7" s="15">
        <v>19</v>
      </c>
      <c r="T7" s="15">
        <v>20</v>
      </c>
      <c r="U7" s="15">
        <v>21</v>
      </c>
      <c r="V7" s="16">
        <v>22</v>
      </c>
      <c r="W7" s="13">
        <v>23</v>
      </c>
      <c r="X7" s="15">
        <v>24</v>
      </c>
      <c r="Y7" s="15">
        <v>25</v>
      </c>
      <c r="Z7" s="15">
        <v>26</v>
      </c>
      <c r="AA7" s="16">
        <v>27</v>
      </c>
      <c r="AB7" s="13">
        <v>23</v>
      </c>
      <c r="AC7" s="15">
        <v>24</v>
      </c>
      <c r="AD7" s="15">
        <v>25</v>
      </c>
      <c r="AE7" s="15">
        <v>26</v>
      </c>
      <c r="AF7" s="16">
        <v>27</v>
      </c>
      <c r="AG7" s="13">
        <v>18</v>
      </c>
      <c r="AH7" s="15">
        <v>19</v>
      </c>
      <c r="AI7" s="15">
        <v>20</v>
      </c>
      <c r="AJ7" s="15">
        <v>21</v>
      </c>
      <c r="AK7" s="16">
        <v>22</v>
      </c>
      <c r="AL7" s="13">
        <v>23</v>
      </c>
      <c r="AM7" s="15">
        <v>24</v>
      </c>
      <c r="AN7" s="15">
        <v>25</v>
      </c>
      <c r="AO7" s="15">
        <v>26</v>
      </c>
      <c r="AP7" s="16">
        <v>27</v>
      </c>
    </row>
    <row r="8" spans="1:42" s="1" customFormat="1" ht="31.5" customHeight="1">
      <c r="A8" s="18" t="s">
        <v>41</v>
      </c>
      <c r="B8" s="19" t="s">
        <v>62</v>
      </c>
      <c r="C8" s="51">
        <f>C18+C20+C21</f>
        <v>34.364900000000006</v>
      </c>
      <c r="D8" s="52">
        <f>D14+D15+D16+D17</f>
        <v>34.3649</v>
      </c>
      <c r="E8" s="52">
        <f>E9+E14+E15+E16+E17</f>
        <v>0</v>
      </c>
      <c r="F8" s="52">
        <f>F9+F14+F15+F16+F17</f>
        <v>0.5492678859900018</v>
      </c>
      <c r="G8" s="53">
        <f>G9+G14+G15+G16+G17</f>
        <v>4.3656403153735646E-05</v>
      </c>
      <c r="H8" s="51">
        <f>H18+H20+H21</f>
        <v>34.332</v>
      </c>
      <c r="I8" s="52">
        <f>I14+I15+I16+I17</f>
        <v>34.332</v>
      </c>
      <c r="J8" s="52">
        <f>J9+J14+J15+J16+J17</f>
        <v>0</v>
      </c>
      <c r="K8" s="52">
        <f>K9+K14+K15+K16+K17</f>
        <v>0.5492603999999979</v>
      </c>
      <c r="L8" s="53">
        <f>L9+L14+L15+L16+L17</f>
        <v>3.643391999796908E-05</v>
      </c>
      <c r="M8" s="51">
        <f>M18+M20+M21</f>
        <v>32.7715</v>
      </c>
      <c r="N8" s="52">
        <f>N14+N15+N16+N17</f>
        <v>32.7715</v>
      </c>
      <c r="O8" s="52">
        <f>O9+O14+O15+O16+O17</f>
        <v>0</v>
      </c>
      <c r="P8" s="52">
        <f>P9+P14+P15+P16+P17</f>
        <v>0.2896317335000056</v>
      </c>
      <c r="Q8" s="53">
        <f>Q9+Q14+Q15+Q16+Q17</f>
        <v>3.6696480805398224E-05</v>
      </c>
      <c r="R8" s="51">
        <f>R18+R20+R21</f>
        <v>32.5302</v>
      </c>
      <c r="S8" s="52">
        <f>S14+S15+S16+S17</f>
        <v>32.5302</v>
      </c>
      <c r="T8" s="52">
        <f>T9+T14+T15+T16+T17</f>
        <v>0</v>
      </c>
      <c r="U8" s="52">
        <f>U9+U14+U15+U16+U17</f>
        <v>0.2873363260000019</v>
      </c>
      <c r="V8" s="53">
        <f>V9+V14+V15+V16+V17</f>
        <v>-2.0445409998126607E-05</v>
      </c>
      <c r="W8" s="51">
        <f>W18+W20+W21</f>
        <v>32.650999999999996</v>
      </c>
      <c r="X8" s="52">
        <f>X14+X15+X16+X17</f>
        <v>32.651</v>
      </c>
      <c r="Y8" s="52">
        <f>Y9+Y14+Y15+Y16+Y17</f>
        <v>0</v>
      </c>
      <c r="Z8" s="52">
        <f>Z9+Z14+Z15+Z16+Z17</f>
        <v>0.288402099999999</v>
      </c>
      <c r="AA8" s="53">
        <f>AA9+AA14+AA15+AA16+AA17</f>
        <v>-4.965392000094715E-05</v>
      </c>
      <c r="AB8" s="106">
        <f>AB18+AB20+AB21</f>
        <v>34.72385</v>
      </c>
      <c r="AC8" s="107">
        <f>AC14+AC15+AC16+AC17</f>
        <v>34.72385</v>
      </c>
      <c r="AD8" s="107">
        <f>AD9+AD14+AD15+AD16+AD17</f>
        <v>0</v>
      </c>
      <c r="AE8" s="107">
        <f>AE9+AE14+AE15+AE16+AE17</f>
        <v>0.5654194438499971</v>
      </c>
      <c r="AF8" s="108">
        <f>AF9+AF14+AF15+AF16+AF17</f>
        <v>1.1054972997137646E-05</v>
      </c>
      <c r="AG8" s="106">
        <f>AG18+AG20+AG21</f>
        <v>34.47019999999999</v>
      </c>
      <c r="AH8" s="107">
        <f>AH14+AH15+AH16+AH17</f>
        <v>34.4702</v>
      </c>
      <c r="AI8" s="107">
        <f>AI9+AI14+AI15+AI16+AI17</f>
        <v>0</v>
      </c>
      <c r="AJ8" s="107">
        <f>AJ9+AJ14+AJ15+AJ16+AJ17</f>
        <v>0.5653614399999967</v>
      </c>
      <c r="AK8" s="108">
        <f>AK9+AK14+AK15+AK16+AK17</f>
        <v>-2.5788800003256895E-05</v>
      </c>
      <c r="AL8" s="106">
        <f>AL18+AL20+AL21</f>
        <v>34.596999999999994</v>
      </c>
      <c r="AM8" s="107">
        <f>AM14+AM15+AM16+AM17</f>
        <v>34.597</v>
      </c>
      <c r="AN8" s="107">
        <f>AN9+AN14+AN15+AN16+AN17</f>
        <v>0</v>
      </c>
      <c r="AO8" s="107">
        <f>AO9+AO14+AO15+AO16+AO17</f>
        <v>0.5653656984999955</v>
      </c>
      <c r="AP8" s="108">
        <f>AP9+AP14+AP15+AP16+AP17</f>
        <v>-2.161547000445463E-05</v>
      </c>
    </row>
    <row r="9" spans="1:42" s="1" customFormat="1" ht="15">
      <c r="A9" s="20" t="s">
        <v>51</v>
      </c>
      <c r="B9" s="21" t="s">
        <v>58</v>
      </c>
      <c r="C9" s="89" t="s">
        <v>67</v>
      </c>
      <c r="D9" s="57" t="s">
        <v>67</v>
      </c>
      <c r="E9" s="54">
        <f>E11</f>
        <v>0</v>
      </c>
      <c r="F9" s="54">
        <f>F11+F12</f>
        <v>0.5492678859900018</v>
      </c>
      <c r="G9" s="55">
        <f>G11+G12+G13</f>
        <v>4.3656403153735646E-05</v>
      </c>
      <c r="H9" s="89" t="s">
        <v>67</v>
      </c>
      <c r="I9" s="57" t="s">
        <v>67</v>
      </c>
      <c r="J9" s="54">
        <f>J11</f>
        <v>0</v>
      </c>
      <c r="K9" s="54">
        <f>K11+K12</f>
        <v>0.5492603999999979</v>
      </c>
      <c r="L9" s="55">
        <f>L11+L12+L13</f>
        <v>3.643391999796908E-05</v>
      </c>
      <c r="M9" s="89" t="s">
        <v>67</v>
      </c>
      <c r="N9" s="57" t="s">
        <v>67</v>
      </c>
      <c r="O9" s="54">
        <f>O11</f>
        <v>0</v>
      </c>
      <c r="P9" s="54">
        <f>P11+P12</f>
        <v>0.2896317335000056</v>
      </c>
      <c r="Q9" s="55">
        <f>Q11+Q12+Q13</f>
        <v>3.6696480805398224E-05</v>
      </c>
      <c r="R9" s="89" t="s">
        <v>67</v>
      </c>
      <c r="S9" s="57" t="s">
        <v>67</v>
      </c>
      <c r="T9" s="54">
        <f>T11</f>
        <v>0</v>
      </c>
      <c r="U9" s="54">
        <f>U11+U12</f>
        <v>0.2873363260000019</v>
      </c>
      <c r="V9" s="55">
        <f>V11+V12+V13</f>
        <v>-2.0445409998126607E-05</v>
      </c>
      <c r="W9" s="89" t="s">
        <v>67</v>
      </c>
      <c r="X9" s="57" t="s">
        <v>67</v>
      </c>
      <c r="Y9" s="54">
        <f>Y11</f>
        <v>0</v>
      </c>
      <c r="Z9" s="54">
        <f>Z11+Z12</f>
        <v>0.288402099999999</v>
      </c>
      <c r="AA9" s="55">
        <f>AA11+AA12+AA13</f>
        <v>-4.965392000094715E-05</v>
      </c>
      <c r="AB9" s="89" t="s">
        <v>67</v>
      </c>
      <c r="AC9" s="57" t="s">
        <v>67</v>
      </c>
      <c r="AD9" s="109">
        <f>AD11</f>
        <v>0</v>
      </c>
      <c r="AE9" s="109">
        <f>AE11+AE12</f>
        <v>0.5654194438499971</v>
      </c>
      <c r="AF9" s="110">
        <f>AF11+AF12+AF13</f>
        <v>1.1054972997137646E-05</v>
      </c>
      <c r="AG9" s="89" t="s">
        <v>67</v>
      </c>
      <c r="AH9" s="57" t="s">
        <v>67</v>
      </c>
      <c r="AI9" s="109">
        <f>AI11</f>
        <v>0</v>
      </c>
      <c r="AJ9" s="109">
        <f>AJ11+AJ12</f>
        <v>0.5653614399999967</v>
      </c>
      <c r="AK9" s="110">
        <f>AK11+AK12+AK13</f>
        <v>-2.5788800003256895E-05</v>
      </c>
      <c r="AL9" s="89" t="s">
        <v>67</v>
      </c>
      <c r="AM9" s="57" t="s">
        <v>67</v>
      </c>
      <c r="AN9" s="109">
        <f>AN11</f>
        <v>0</v>
      </c>
      <c r="AO9" s="109">
        <f>AO11+AO12</f>
        <v>0.5653656984999955</v>
      </c>
      <c r="AP9" s="110">
        <f>AP11+AP12+AP13</f>
        <v>-2.161547000445463E-05</v>
      </c>
    </row>
    <row r="10" spans="1:42" s="1" customFormat="1" ht="15">
      <c r="A10" s="20"/>
      <c r="B10" s="21" t="s">
        <v>59</v>
      </c>
      <c r="C10" s="89" t="s">
        <v>67</v>
      </c>
      <c r="D10" s="90" t="s">
        <v>67</v>
      </c>
      <c r="E10" s="58" t="s">
        <v>67</v>
      </c>
      <c r="F10" s="58" t="s">
        <v>67</v>
      </c>
      <c r="G10" s="59" t="s">
        <v>67</v>
      </c>
      <c r="H10" s="89" t="s">
        <v>67</v>
      </c>
      <c r="I10" s="90" t="s">
        <v>67</v>
      </c>
      <c r="J10" s="58" t="s">
        <v>67</v>
      </c>
      <c r="K10" s="58" t="s">
        <v>67</v>
      </c>
      <c r="L10" s="59" t="s">
        <v>67</v>
      </c>
      <c r="M10" s="89" t="s">
        <v>67</v>
      </c>
      <c r="N10" s="90" t="s">
        <v>67</v>
      </c>
      <c r="O10" s="58" t="s">
        <v>67</v>
      </c>
      <c r="P10" s="58" t="s">
        <v>67</v>
      </c>
      <c r="Q10" s="59" t="s">
        <v>67</v>
      </c>
      <c r="R10" s="89" t="s">
        <v>67</v>
      </c>
      <c r="S10" s="90" t="s">
        <v>67</v>
      </c>
      <c r="T10" s="58" t="s">
        <v>67</v>
      </c>
      <c r="U10" s="58" t="s">
        <v>67</v>
      </c>
      <c r="V10" s="59" t="s">
        <v>67</v>
      </c>
      <c r="W10" s="89" t="s">
        <v>67</v>
      </c>
      <c r="X10" s="90" t="s">
        <v>67</v>
      </c>
      <c r="Y10" s="58" t="s">
        <v>67</v>
      </c>
      <c r="Z10" s="58" t="s">
        <v>67</v>
      </c>
      <c r="AA10" s="59" t="s">
        <v>67</v>
      </c>
      <c r="AB10" s="89" t="s">
        <v>67</v>
      </c>
      <c r="AC10" s="90" t="s">
        <v>67</v>
      </c>
      <c r="AD10" s="58" t="s">
        <v>67</v>
      </c>
      <c r="AE10" s="58" t="s">
        <v>67</v>
      </c>
      <c r="AF10" s="59" t="s">
        <v>67</v>
      </c>
      <c r="AG10" s="89" t="s">
        <v>67</v>
      </c>
      <c r="AH10" s="90" t="s">
        <v>67</v>
      </c>
      <c r="AI10" s="58" t="s">
        <v>67</v>
      </c>
      <c r="AJ10" s="58" t="s">
        <v>67</v>
      </c>
      <c r="AK10" s="59" t="s">
        <v>67</v>
      </c>
      <c r="AL10" s="89" t="s">
        <v>67</v>
      </c>
      <c r="AM10" s="90" t="s">
        <v>67</v>
      </c>
      <c r="AN10" s="58" t="s">
        <v>67</v>
      </c>
      <c r="AO10" s="58" t="s">
        <v>67</v>
      </c>
      <c r="AP10" s="59" t="s">
        <v>67</v>
      </c>
    </row>
    <row r="11" spans="1:42" s="1" customFormat="1" ht="15">
      <c r="A11" s="20" t="s">
        <v>1</v>
      </c>
      <c r="B11" s="21" t="s">
        <v>47</v>
      </c>
      <c r="C11" s="89" t="s">
        <v>67</v>
      </c>
      <c r="D11" s="60" t="s">
        <v>67</v>
      </c>
      <c r="E11" s="67"/>
      <c r="F11" s="62">
        <f>D8-D18-D20-D21-G11-E11</f>
        <v>0.5492678859900018</v>
      </c>
      <c r="G11" s="63"/>
      <c r="H11" s="89" t="s">
        <v>67</v>
      </c>
      <c r="I11" s="60" t="s">
        <v>67</v>
      </c>
      <c r="J11" s="67"/>
      <c r="K11" s="62">
        <f>I8-I18-I20-I21-L11-J11</f>
        <v>0.5492603999999979</v>
      </c>
      <c r="L11" s="63"/>
      <c r="M11" s="89" t="s">
        <v>67</v>
      </c>
      <c r="N11" s="60" t="s">
        <v>67</v>
      </c>
      <c r="O11" s="67"/>
      <c r="P11" s="62">
        <f>N8-N18-N20-N21-Q11-O11</f>
        <v>0.2896317335000056</v>
      </c>
      <c r="Q11" s="63"/>
      <c r="R11" s="89" t="s">
        <v>67</v>
      </c>
      <c r="S11" s="60" t="s">
        <v>67</v>
      </c>
      <c r="T11" s="67"/>
      <c r="U11" s="62">
        <f>S8-S18-S20-S21-V11-T11</f>
        <v>0.2873363260000019</v>
      </c>
      <c r="V11" s="63"/>
      <c r="W11" s="89" t="s">
        <v>67</v>
      </c>
      <c r="X11" s="60" t="s">
        <v>67</v>
      </c>
      <c r="Y11" s="67"/>
      <c r="Z11" s="62">
        <f>X8-X18-X20-X21-AA11-Y11</f>
        <v>0.288402099999999</v>
      </c>
      <c r="AA11" s="63"/>
      <c r="AB11" s="89" t="s">
        <v>67</v>
      </c>
      <c r="AC11" s="60" t="s">
        <v>67</v>
      </c>
      <c r="AD11" s="67"/>
      <c r="AE11" s="111">
        <f>AC8-AC18-AC20-AC21-AF11-AD11</f>
        <v>0.5654194438499971</v>
      </c>
      <c r="AF11" s="63"/>
      <c r="AG11" s="89" t="s">
        <v>67</v>
      </c>
      <c r="AH11" s="60" t="s">
        <v>67</v>
      </c>
      <c r="AI11" s="67"/>
      <c r="AJ11" s="111">
        <f>AH8-AH18-AH20-AH21-AK11-AI11</f>
        <v>0.5653614399999967</v>
      </c>
      <c r="AK11" s="63"/>
      <c r="AL11" s="89" t="s">
        <v>67</v>
      </c>
      <c r="AM11" s="60" t="s">
        <v>67</v>
      </c>
      <c r="AN11" s="67"/>
      <c r="AO11" s="111">
        <f>AM8-AM18-AM20-AM21-AP11-AN11</f>
        <v>0.5653656984999955</v>
      </c>
      <c r="AP11" s="63"/>
    </row>
    <row r="12" spans="1:42" s="1" customFormat="1" ht="15">
      <c r="A12" s="20" t="s">
        <v>2</v>
      </c>
      <c r="B12" s="21" t="s">
        <v>48</v>
      </c>
      <c r="C12" s="89" t="s">
        <v>67</v>
      </c>
      <c r="D12" s="60" t="s">
        <v>67</v>
      </c>
      <c r="E12" s="60" t="s">
        <v>67</v>
      </c>
      <c r="F12" s="62">
        <f>E8-E18-E20-E21-G12</f>
        <v>0</v>
      </c>
      <c r="G12" s="63"/>
      <c r="H12" s="89" t="s">
        <v>67</v>
      </c>
      <c r="I12" s="60" t="s">
        <v>67</v>
      </c>
      <c r="J12" s="60" t="s">
        <v>67</v>
      </c>
      <c r="K12" s="62">
        <f>J8-J18-J20-J21-L12</f>
        <v>0</v>
      </c>
      <c r="L12" s="63"/>
      <c r="M12" s="89" t="s">
        <v>67</v>
      </c>
      <c r="N12" s="60" t="s">
        <v>67</v>
      </c>
      <c r="O12" s="60" t="s">
        <v>67</v>
      </c>
      <c r="P12" s="62">
        <f>O8-O18-O20-O21-Q12</f>
        <v>0</v>
      </c>
      <c r="Q12" s="63"/>
      <c r="R12" s="89" t="s">
        <v>67</v>
      </c>
      <c r="S12" s="60" t="s">
        <v>67</v>
      </c>
      <c r="T12" s="60" t="s">
        <v>67</v>
      </c>
      <c r="U12" s="62">
        <f>T8-T18-T20-T21-V12</f>
        <v>0</v>
      </c>
      <c r="V12" s="63"/>
      <c r="W12" s="89" t="s">
        <v>67</v>
      </c>
      <c r="X12" s="60" t="s">
        <v>67</v>
      </c>
      <c r="Y12" s="60" t="s">
        <v>67</v>
      </c>
      <c r="Z12" s="62">
        <f>Y8-Y18-Y20-Y21-AA12</f>
        <v>0</v>
      </c>
      <c r="AA12" s="63"/>
      <c r="AB12" s="89" t="s">
        <v>67</v>
      </c>
      <c r="AC12" s="60" t="s">
        <v>67</v>
      </c>
      <c r="AD12" s="60" t="s">
        <v>67</v>
      </c>
      <c r="AE12" s="111">
        <f>AD8-AD18-AD20-AD21-AF12</f>
        <v>0</v>
      </c>
      <c r="AF12" s="63"/>
      <c r="AG12" s="89" t="s">
        <v>67</v>
      </c>
      <c r="AH12" s="60" t="s">
        <v>67</v>
      </c>
      <c r="AI12" s="60" t="s">
        <v>67</v>
      </c>
      <c r="AJ12" s="111">
        <f>AI8-AI18-AI20-AI21-AK12</f>
        <v>0</v>
      </c>
      <c r="AK12" s="63"/>
      <c r="AL12" s="89" t="s">
        <v>67</v>
      </c>
      <c r="AM12" s="60" t="s">
        <v>67</v>
      </c>
      <c r="AN12" s="60" t="s">
        <v>67</v>
      </c>
      <c r="AO12" s="111">
        <f>AN8-AN18-AN20-AN21-AP12</f>
        <v>0</v>
      </c>
      <c r="AP12" s="63"/>
    </row>
    <row r="13" spans="1:42" s="1" customFormat="1" ht="15">
      <c r="A13" s="20" t="s">
        <v>3</v>
      </c>
      <c r="B13" s="21" t="s">
        <v>49</v>
      </c>
      <c r="C13" s="89" t="s">
        <v>67</v>
      </c>
      <c r="D13" s="60" t="s">
        <v>67</v>
      </c>
      <c r="E13" s="60" t="s">
        <v>67</v>
      </c>
      <c r="F13" s="60" t="s">
        <v>67</v>
      </c>
      <c r="G13" s="64">
        <f>F8-F18-F20-F21</f>
        <v>4.3656403153735646E-05</v>
      </c>
      <c r="H13" s="89" t="s">
        <v>67</v>
      </c>
      <c r="I13" s="60" t="s">
        <v>67</v>
      </c>
      <c r="J13" s="60" t="s">
        <v>67</v>
      </c>
      <c r="K13" s="60" t="s">
        <v>67</v>
      </c>
      <c r="L13" s="64">
        <f>K8-K18-K20-K21</f>
        <v>3.643391999796908E-05</v>
      </c>
      <c r="M13" s="89" t="s">
        <v>67</v>
      </c>
      <c r="N13" s="60" t="s">
        <v>67</v>
      </c>
      <c r="O13" s="60" t="s">
        <v>67</v>
      </c>
      <c r="P13" s="60" t="s">
        <v>67</v>
      </c>
      <c r="Q13" s="64">
        <f>P8-P18-P20-P21</f>
        <v>3.6696480805398224E-05</v>
      </c>
      <c r="R13" s="89" t="s">
        <v>67</v>
      </c>
      <c r="S13" s="60" t="s">
        <v>67</v>
      </c>
      <c r="T13" s="60" t="s">
        <v>67</v>
      </c>
      <c r="U13" s="60" t="s">
        <v>67</v>
      </c>
      <c r="V13" s="64">
        <f>U8-U18-U20-U21</f>
        <v>-2.0445409998126607E-05</v>
      </c>
      <c r="W13" s="89" t="s">
        <v>67</v>
      </c>
      <c r="X13" s="60" t="s">
        <v>67</v>
      </c>
      <c r="Y13" s="60" t="s">
        <v>67</v>
      </c>
      <c r="Z13" s="60" t="s">
        <v>67</v>
      </c>
      <c r="AA13" s="64">
        <f>Z8-Z18-Z20-Z21</f>
        <v>-4.965392000094715E-05</v>
      </c>
      <c r="AB13" s="89" t="s">
        <v>67</v>
      </c>
      <c r="AC13" s="60" t="s">
        <v>67</v>
      </c>
      <c r="AD13" s="60" t="s">
        <v>67</v>
      </c>
      <c r="AE13" s="60" t="s">
        <v>67</v>
      </c>
      <c r="AF13" s="112">
        <f>AE8-AE18-AE20-AE21</f>
        <v>1.1054972997137646E-05</v>
      </c>
      <c r="AG13" s="89" t="s">
        <v>67</v>
      </c>
      <c r="AH13" s="60" t="s">
        <v>67</v>
      </c>
      <c r="AI13" s="60" t="s">
        <v>67</v>
      </c>
      <c r="AJ13" s="60" t="s">
        <v>67</v>
      </c>
      <c r="AK13" s="112">
        <f>AJ8-AJ18-AJ20-AJ21</f>
        <v>-2.5788800003256895E-05</v>
      </c>
      <c r="AL13" s="89" t="s">
        <v>67</v>
      </c>
      <c r="AM13" s="60" t="s">
        <v>67</v>
      </c>
      <c r="AN13" s="60" t="s">
        <v>67</v>
      </c>
      <c r="AO13" s="60" t="s">
        <v>67</v>
      </c>
      <c r="AP13" s="112">
        <f>AO8-AO18-AO20-AO21</f>
        <v>-2.161547000445463E-05</v>
      </c>
    </row>
    <row r="14" spans="1:42" s="1" customFormat="1" ht="15">
      <c r="A14" s="20" t="s">
        <v>52</v>
      </c>
      <c r="B14" s="21" t="s">
        <v>6</v>
      </c>
      <c r="C14" s="91">
        <f>SUM(D14:G14)</f>
        <v>0</v>
      </c>
      <c r="D14" s="67"/>
      <c r="E14" s="67"/>
      <c r="F14" s="67"/>
      <c r="G14" s="63"/>
      <c r="H14" s="91">
        <f>SUM(I14:L14)</f>
        <v>0</v>
      </c>
      <c r="I14" s="67"/>
      <c r="J14" s="67"/>
      <c r="K14" s="67"/>
      <c r="L14" s="63"/>
      <c r="M14" s="91">
        <f>SUM(N14:Q14)</f>
        <v>0</v>
      </c>
      <c r="N14" s="67"/>
      <c r="O14" s="67"/>
      <c r="P14" s="67"/>
      <c r="Q14" s="63"/>
      <c r="R14" s="91">
        <f>SUM(S14:V14)</f>
        <v>0</v>
      </c>
      <c r="S14" s="67"/>
      <c r="T14" s="67"/>
      <c r="U14" s="67"/>
      <c r="V14" s="63"/>
      <c r="W14" s="91">
        <f>SUM(X14:AA14)</f>
        <v>0</v>
      </c>
      <c r="X14" s="67"/>
      <c r="Y14" s="67"/>
      <c r="Z14" s="67"/>
      <c r="AA14" s="63"/>
      <c r="AB14" s="118">
        <f>SUM(AC14:AF14)</f>
        <v>0</v>
      </c>
      <c r="AC14" s="67"/>
      <c r="AD14" s="67"/>
      <c r="AE14" s="67"/>
      <c r="AF14" s="63"/>
      <c r="AG14" s="118">
        <f>SUM(AH14:AK14)</f>
        <v>0</v>
      </c>
      <c r="AH14" s="67"/>
      <c r="AI14" s="67"/>
      <c r="AJ14" s="67"/>
      <c r="AK14" s="63"/>
      <c r="AL14" s="118">
        <f>SUM(AM14:AP14)</f>
        <v>0</v>
      </c>
      <c r="AM14" s="67"/>
      <c r="AN14" s="67"/>
      <c r="AO14" s="67"/>
      <c r="AP14" s="63"/>
    </row>
    <row r="15" spans="1:42" s="1" customFormat="1" ht="15">
      <c r="A15" s="20" t="s">
        <v>53</v>
      </c>
      <c r="B15" s="21" t="s">
        <v>26</v>
      </c>
      <c r="C15" s="91">
        <f>SUM(D15:G15)</f>
        <v>0</v>
      </c>
      <c r="D15" s="67"/>
      <c r="E15" s="67"/>
      <c r="F15" s="67"/>
      <c r="G15" s="63"/>
      <c r="H15" s="91">
        <f>SUM(I15:L15)</f>
        <v>0</v>
      </c>
      <c r="I15" s="67"/>
      <c r="J15" s="67"/>
      <c r="K15" s="67"/>
      <c r="L15" s="63"/>
      <c r="M15" s="91">
        <f>SUM(N15:Q15)</f>
        <v>0</v>
      </c>
      <c r="N15" s="67"/>
      <c r="O15" s="67"/>
      <c r="P15" s="67"/>
      <c r="Q15" s="63"/>
      <c r="R15" s="91">
        <f>SUM(S15:V15)</f>
        <v>0</v>
      </c>
      <c r="S15" s="67"/>
      <c r="T15" s="67"/>
      <c r="U15" s="67"/>
      <c r="V15" s="63"/>
      <c r="W15" s="91">
        <f>SUM(X15:AA15)</f>
        <v>0</v>
      </c>
      <c r="X15" s="67"/>
      <c r="Y15" s="67"/>
      <c r="Z15" s="67"/>
      <c r="AA15" s="63"/>
      <c r="AB15" s="118">
        <f>SUM(AC15:AF15)</f>
        <v>0</v>
      </c>
      <c r="AC15" s="67"/>
      <c r="AD15" s="67"/>
      <c r="AE15" s="67"/>
      <c r="AF15" s="63"/>
      <c r="AG15" s="118">
        <f>SUM(AH15:AK15)</f>
        <v>0</v>
      </c>
      <c r="AH15" s="67"/>
      <c r="AI15" s="67"/>
      <c r="AJ15" s="67"/>
      <c r="AK15" s="63"/>
      <c r="AL15" s="118">
        <f>SUM(AM15:AP15)</f>
        <v>0</v>
      </c>
      <c r="AM15" s="67"/>
      <c r="AN15" s="67"/>
      <c r="AO15" s="67"/>
      <c r="AP15" s="63"/>
    </row>
    <row r="16" spans="1:42" s="1" customFormat="1" ht="15">
      <c r="A16" s="20" t="s">
        <v>54</v>
      </c>
      <c r="B16" s="21" t="s">
        <v>27</v>
      </c>
      <c r="C16" s="91">
        <f>SUM(D16:G16)</f>
        <v>34.3649</v>
      </c>
      <c r="D16" s="67">
        <v>34.3649</v>
      </c>
      <c r="E16" s="67"/>
      <c r="F16" s="67"/>
      <c r="G16" s="63"/>
      <c r="H16" s="91">
        <f>SUM(I16:L16)</f>
        <v>34.332</v>
      </c>
      <c r="I16" s="67">
        <v>34.332</v>
      </c>
      <c r="J16" s="67"/>
      <c r="K16" s="67"/>
      <c r="L16" s="63"/>
      <c r="M16" s="91">
        <f>SUM(N16:Q16)</f>
        <v>32.7715</v>
      </c>
      <c r="N16" s="67">
        <v>32.7715</v>
      </c>
      <c r="O16" s="67"/>
      <c r="P16" s="67"/>
      <c r="Q16" s="63"/>
      <c r="R16" s="91">
        <f>SUM(S16:V16)</f>
        <v>32.5302</v>
      </c>
      <c r="S16" s="67">
        <v>32.5302</v>
      </c>
      <c r="T16" s="67"/>
      <c r="U16" s="67"/>
      <c r="V16" s="63"/>
      <c r="W16" s="91">
        <f>SUM(X16:AA16)</f>
        <v>32.651</v>
      </c>
      <c r="X16" s="67">
        <v>32.651</v>
      </c>
      <c r="Y16" s="67"/>
      <c r="Z16" s="67"/>
      <c r="AA16" s="63"/>
      <c r="AB16" s="118">
        <f>SUM(AC16:AF16)</f>
        <v>34.72385</v>
      </c>
      <c r="AC16" s="67">
        <v>34.72385</v>
      </c>
      <c r="AD16" s="67"/>
      <c r="AE16" s="67"/>
      <c r="AF16" s="63"/>
      <c r="AG16" s="118">
        <f>SUM(AH16:AK16)</f>
        <v>34.4702</v>
      </c>
      <c r="AH16" s="67">
        <v>34.4702</v>
      </c>
      <c r="AI16" s="67"/>
      <c r="AJ16" s="67"/>
      <c r="AK16" s="63"/>
      <c r="AL16" s="118">
        <f>SUM(AM16:AP16)</f>
        <v>34.597</v>
      </c>
      <c r="AM16" s="67">
        <v>34.597</v>
      </c>
      <c r="AN16" s="67"/>
      <c r="AO16" s="67"/>
      <c r="AP16" s="63"/>
    </row>
    <row r="17" spans="1:42" s="1" customFormat="1" ht="19.5" customHeight="1">
      <c r="A17" s="20" t="s">
        <v>55</v>
      </c>
      <c r="B17" s="21" t="s">
        <v>28</v>
      </c>
      <c r="C17" s="91">
        <f>SUM(D17:G17)</f>
        <v>0</v>
      </c>
      <c r="D17" s="67"/>
      <c r="E17" s="67"/>
      <c r="F17" s="67"/>
      <c r="G17" s="63"/>
      <c r="H17" s="91">
        <f>SUM(I17:L17)</f>
        <v>0</v>
      </c>
      <c r="I17" s="67"/>
      <c r="J17" s="67"/>
      <c r="K17" s="67"/>
      <c r="L17" s="63"/>
      <c r="M17" s="91">
        <f>SUM(N17:Q17)</f>
        <v>0</v>
      </c>
      <c r="N17" s="67"/>
      <c r="O17" s="67"/>
      <c r="P17" s="67"/>
      <c r="Q17" s="63"/>
      <c r="R17" s="91">
        <f>SUM(S17:V17)</f>
        <v>0</v>
      </c>
      <c r="S17" s="67"/>
      <c r="T17" s="67"/>
      <c r="U17" s="67"/>
      <c r="V17" s="63"/>
      <c r="W17" s="91">
        <f>SUM(X17:AA17)</f>
        <v>0</v>
      </c>
      <c r="X17" s="67"/>
      <c r="Y17" s="67"/>
      <c r="Z17" s="67"/>
      <c r="AA17" s="63"/>
      <c r="AB17" s="118">
        <f>SUM(AC17:AF17)</f>
        <v>0</v>
      </c>
      <c r="AC17" s="67"/>
      <c r="AD17" s="67"/>
      <c r="AE17" s="67"/>
      <c r="AF17" s="63"/>
      <c r="AG17" s="118">
        <f>SUM(AH17:AK17)</f>
        <v>0</v>
      </c>
      <c r="AH17" s="67"/>
      <c r="AI17" s="67"/>
      <c r="AJ17" s="67"/>
      <c r="AK17" s="63"/>
      <c r="AL17" s="118">
        <f>SUM(AM17:AP17)</f>
        <v>0</v>
      </c>
      <c r="AM17" s="67"/>
      <c r="AN17" s="67"/>
      <c r="AO17" s="67"/>
      <c r="AP17" s="63"/>
    </row>
    <row r="18" spans="1:42" s="1" customFormat="1" ht="15">
      <c r="A18" s="20" t="s">
        <v>42</v>
      </c>
      <c r="B18" s="21" t="s">
        <v>63</v>
      </c>
      <c r="C18" s="65">
        <f>SUM(D18:G18)</f>
        <v>0.49167634359684803</v>
      </c>
      <c r="D18" s="62">
        <f>D8*D19/100</f>
        <v>0.47234211401</v>
      </c>
      <c r="E18" s="62">
        <f>E8*E19/100</f>
        <v>0</v>
      </c>
      <c r="F18" s="62">
        <f>F8*F19/100</f>
        <v>0.01933422958684806</v>
      </c>
      <c r="G18" s="64">
        <f>G8*G19/100</f>
        <v>0</v>
      </c>
      <c r="H18" s="65">
        <f>SUM(I18:L18)</f>
        <v>0.4587835660799999</v>
      </c>
      <c r="I18" s="62">
        <f>I8*I19/100</f>
        <v>0.4394496</v>
      </c>
      <c r="J18" s="62">
        <f>J8*J19/100</f>
        <v>0</v>
      </c>
      <c r="K18" s="62">
        <f>K8*K19/100</f>
        <v>0.019333966079999924</v>
      </c>
      <c r="L18" s="64">
        <f>L8*L19/100</f>
        <v>0</v>
      </c>
      <c r="M18" s="65">
        <f>SUM(N18:Q18)</f>
        <v>0.4339633035192002</v>
      </c>
      <c r="N18" s="62">
        <f>N8*N19/100</f>
        <v>0.4237682665</v>
      </c>
      <c r="O18" s="62">
        <f>O8*O19/100</f>
        <v>0</v>
      </c>
      <c r="P18" s="62">
        <f>P8*P19/100</f>
        <v>0.010195037019200198</v>
      </c>
      <c r="Q18" s="64">
        <f>Q8*Q19/100</f>
        <v>0</v>
      </c>
      <c r="R18" s="65">
        <f>SUM(S18:V18)</f>
        <v>0.4287204454100001</v>
      </c>
      <c r="S18" s="62">
        <f>S8*S19/100</f>
        <v>0.41866367400000004</v>
      </c>
      <c r="T18" s="62">
        <f>T8*T19/100</f>
        <v>0</v>
      </c>
      <c r="U18" s="62">
        <f>U8*U19/100</f>
        <v>0.010056771410000068</v>
      </c>
      <c r="V18" s="64">
        <f>V8*V19/100</f>
        <v>0</v>
      </c>
      <c r="W18" s="65">
        <f>SUM(X18:AA18)</f>
        <v>0.43134965392</v>
      </c>
      <c r="X18" s="62">
        <f>X8*X19/100</f>
        <v>0.42119790000000007</v>
      </c>
      <c r="Y18" s="62">
        <f>Y8*Y19/100</f>
        <v>0</v>
      </c>
      <c r="Z18" s="62">
        <f>Z8*Z19/100</f>
        <v>0.010151753919999965</v>
      </c>
      <c r="AA18" s="64">
        <f>AA8*AA19/100</f>
        <v>0</v>
      </c>
      <c r="AB18" s="113">
        <f>SUM(AC18:AF18)</f>
        <v>0.4557389450269999</v>
      </c>
      <c r="AC18" s="111">
        <f>AC8*AC19/100</f>
        <v>0.44443055615</v>
      </c>
      <c r="AD18" s="111">
        <f>AD8*AD19/100</f>
        <v>0</v>
      </c>
      <c r="AE18" s="111">
        <f>AE8*AE19/100</f>
        <v>0.011308388876999942</v>
      </c>
      <c r="AF18" s="112">
        <f>AF8*AF19/100</f>
        <v>0</v>
      </c>
      <c r="AG18" s="113">
        <f>SUM(AH18:AK18)</f>
        <v>0.4525257888</v>
      </c>
      <c r="AH18" s="111">
        <f>AH8*AH19/100</f>
        <v>0.44121856000000004</v>
      </c>
      <c r="AI18" s="111">
        <f>AI8*AI19/100</f>
        <v>0</v>
      </c>
      <c r="AJ18" s="111">
        <f>AJ8*AJ19/100</f>
        <v>0.011307228799999933</v>
      </c>
      <c r="AK18" s="112">
        <f>AK8*AK19/100</f>
        <v>0</v>
      </c>
      <c r="AL18" s="113">
        <f>SUM(AM18:AP18)</f>
        <v>0.45413161546999986</v>
      </c>
      <c r="AM18" s="111">
        <f>AM8*AM19/100</f>
        <v>0.44282430149999996</v>
      </c>
      <c r="AN18" s="111">
        <f>AN8*AN19/100</f>
        <v>0</v>
      </c>
      <c r="AO18" s="111">
        <f>AO8*AO19/100</f>
        <v>0.01130731396999991</v>
      </c>
      <c r="AP18" s="112">
        <f>AP8*AP19/100</f>
        <v>0</v>
      </c>
    </row>
    <row r="19" spans="1:42" s="1" customFormat="1" ht="15">
      <c r="A19" s="20" t="s">
        <v>38</v>
      </c>
      <c r="B19" s="21" t="s">
        <v>64</v>
      </c>
      <c r="C19" s="65">
        <f>IF(C8=0,0,C18/C8*100)</f>
        <v>1.4307515621952864</v>
      </c>
      <c r="D19" s="54">
        <f>'Баланс энергии2014г.'!D19</f>
        <v>1.37449</v>
      </c>
      <c r="E19" s="54">
        <f>'Баланс энергии2014г.'!E19</f>
        <v>0</v>
      </c>
      <c r="F19" s="54">
        <f>'Баланс энергии2014г.'!F19</f>
        <v>3.52</v>
      </c>
      <c r="G19" s="55">
        <f>'Баланс энергии2014г.'!G19</f>
        <v>0</v>
      </c>
      <c r="H19" s="65">
        <f>IF(H8=0,0,H18/H8*100)</f>
        <v>1.336314709542118</v>
      </c>
      <c r="I19" s="54">
        <f>'Баланс энергии2014г.'!I19</f>
        <v>1.28</v>
      </c>
      <c r="J19" s="54">
        <f>'Баланс энергии2014г.'!J19</f>
        <v>0</v>
      </c>
      <c r="K19" s="54">
        <f>'Баланс энергии2014г.'!K19</f>
        <v>3.52</v>
      </c>
      <c r="L19" s="55">
        <f>'Баланс энергии2014г.'!L19</f>
        <v>0</v>
      </c>
      <c r="M19" s="65">
        <f>IF(M8=0,0,M18/M8*100)</f>
        <v>1.3242094610231456</v>
      </c>
      <c r="N19" s="54">
        <f>'Баланс энергии2014г.'!N19</f>
        <v>1.2931</v>
      </c>
      <c r="O19" s="54">
        <f>'Баланс энергии2014г.'!O19</f>
        <v>0</v>
      </c>
      <c r="P19" s="54">
        <f>'Баланс энергии2014г.'!P19</f>
        <v>3.52</v>
      </c>
      <c r="Q19" s="55">
        <f>'Баланс энергии2014г.'!Q19</f>
        <v>0</v>
      </c>
      <c r="R19" s="65">
        <f>IF(R8=0,0,R18/R8*100)</f>
        <v>1.317915184689919</v>
      </c>
      <c r="S19" s="54">
        <f>'Баланс энергии2014г.'!S19</f>
        <v>1.287</v>
      </c>
      <c r="T19" s="54">
        <f>'Баланс энергии2014г.'!T19</f>
        <v>0</v>
      </c>
      <c r="U19" s="54">
        <f>'Баланс энергии2014г.'!U19</f>
        <v>3.5</v>
      </c>
      <c r="V19" s="55">
        <f>'Баланс энергии2014г.'!V19</f>
        <v>0</v>
      </c>
      <c r="W19" s="65">
        <f>IF(W8=0,0,W18/W8*100)</f>
        <v>1.3210917090441336</v>
      </c>
      <c r="X19" s="54">
        <f>'Баланс энергии2014г.'!X19</f>
        <v>1.29</v>
      </c>
      <c r="Y19" s="54">
        <f>'Баланс энергии2014г.'!Y19</f>
        <v>0</v>
      </c>
      <c r="Z19" s="54">
        <f>'Баланс энергии2014г.'!Z19</f>
        <v>3.52</v>
      </c>
      <c r="AA19" s="55">
        <f>'Баланс энергии2014г.'!AA19</f>
        <v>0</v>
      </c>
      <c r="AB19" s="113">
        <f>IF(AB8=0,0,AB18/AB8*100)</f>
        <v>1.3124666332419934</v>
      </c>
      <c r="AC19" s="109">
        <f>'Баланс энергии2014г.'!AC19</f>
        <v>1.2799</v>
      </c>
      <c r="AD19" s="109">
        <f>'Баланс энергии2014г.'!AD19</f>
        <v>0</v>
      </c>
      <c r="AE19" s="109">
        <f>'Баланс энергии2014г.'!AE19</f>
        <v>2</v>
      </c>
      <c r="AF19" s="110">
        <f>'Баланс энергии2014г.'!AF19</f>
        <v>0</v>
      </c>
      <c r="AG19" s="113">
        <f>IF(AG8=0,0,AG18/AG8*100)</f>
        <v>1.3128029103399461</v>
      </c>
      <c r="AH19" s="109">
        <f>'Баланс энергии2014г.'!AH19</f>
        <v>1.28</v>
      </c>
      <c r="AI19" s="109">
        <f>'Баланс энергии2014г.'!AI19</f>
        <v>0</v>
      </c>
      <c r="AJ19" s="109">
        <f>'Баланс энергии2014г.'!AJ19</f>
        <v>2</v>
      </c>
      <c r="AK19" s="110">
        <f>'Баланс энергии2014г.'!AK19</f>
        <v>0</v>
      </c>
      <c r="AL19" s="113">
        <f>IF(AL8=0,0,AL18/AL8*100)</f>
        <v>1.312632931959418</v>
      </c>
      <c r="AM19" s="109">
        <f>'Баланс энергии2014г.'!AM19</f>
        <v>1.27995</v>
      </c>
      <c r="AN19" s="109">
        <f>'Баланс энергии2014г.'!AN19</f>
        <v>0</v>
      </c>
      <c r="AO19" s="109">
        <f>'Баланс энергии2014г.'!AO19</f>
        <v>2</v>
      </c>
      <c r="AP19" s="110">
        <f>'Баланс энергии2014г.'!AP19</f>
        <v>0</v>
      </c>
    </row>
    <row r="20" spans="1:42" s="1" customFormat="1" ht="40.5" customHeight="1">
      <c r="A20" s="20" t="s">
        <v>43</v>
      </c>
      <c r="B20" s="21" t="s">
        <v>10</v>
      </c>
      <c r="C20" s="92">
        <f>SUM(D20:G20)</f>
        <v>12.02504</v>
      </c>
      <c r="D20" s="93">
        <v>12.02504</v>
      </c>
      <c r="E20" s="93"/>
      <c r="F20" s="93"/>
      <c r="G20" s="94"/>
      <c r="H20" s="92">
        <f>SUM(I20:L20)</f>
        <v>12.02504</v>
      </c>
      <c r="I20" s="93">
        <v>12.02504</v>
      </c>
      <c r="J20" s="93"/>
      <c r="K20" s="93"/>
      <c r="L20" s="94"/>
      <c r="M20" s="92">
        <f>SUM(N20:Q20)</f>
        <v>10.939</v>
      </c>
      <c r="N20" s="93">
        <v>10.939</v>
      </c>
      <c r="O20" s="93"/>
      <c r="P20" s="93"/>
      <c r="Q20" s="94"/>
      <c r="R20" s="92">
        <f>SUM(S20:V20)</f>
        <v>10.8591</v>
      </c>
      <c r="S20" s="93">
        <v>10.8591</v>
      </c>
      <c r="T20" s="93"/>
      <c r="U20" s="93"/>
      <c r="V20" s="94"/>
      <c r="W20" s="92">
        <f>SUM(X20:AA20)</f>
        <v>10.899</v>
      </c>
      <c r="X20" s="93">
        <v>10.899</v>
      </c>
      <c r="Y20" s="93"/>
      <c r="Z20" s="93"/>
      <c r="AA20" s="94"/>
      <c r="AB20" s="119">
        <f>SUM(AC20:AF20)</f>
        <v>12.0691</v>
      </c>
      <c r="AC20" s="93">
        <v>12.0691</v>
      </c>
      <c r="AD20" s="93"/>
      <c r="AE20" s="93"/>
      <c r="AF20" s="94"/>
      <c r="AG20" s="119">
        <f>SUM(AH20:AK20)</f>
        <v>11.98095</v>
      </c>
      <c r="AH20" s="93">
        <v>11.98095</v>
      </c>
      <c r="AI20" s="93"/>
      <c r="AJ20" s="93"/>
      <c r="AK20" s="94"/>
      <c r="AL20" s="119">
        <f>SUM(AM20:AP20)</f>
        <v>12.02504</v>
      </c>
      <c r="AM20" s="93">
        <v>12.02504</v>
      </c>
      <c r="AN20" s="93"/>
      <c r="AO20" s="93"/>
      <c r="AP20" s="94"/>
    </row>
    <row r="21" spans="1:42" s="1" customFormat="1" ht="30.75">
      <c r="A21" s="20" t="s">
        <v>44</v>
      </c>
      <c r="B21" s="21" t="s">
        <v>65</v>
      </c>
      <c r="C21" s="92">
        <f>SUM(D21:G21)</f>
        <v>21.848183656403155</v>
      </c>
      <c r="D21" s="54">
        <f>D22+D23+D24</f>
        <v>21.31825</v>
      </c>
      <c r="E21" s="54">
        <f>E22+E23+E24</f>
        <v>0</v>
      </c>
      <c r="F21" s="54">
        <f>F22+F23+F24</f>
        <v>0.52989</v>
      </c>
      <c r="G21" s="55">
        <f>G8-G18-G20</f>
        <v>4.3656403153735646E-05</v>
      </c>
      <c r="H21" s="92">
        <f>SUM(I21:L21)</f>
        <v>21.84817643392</v>
      </c>
      <c r="I21" s="54">
        <f>I22+I23+I24</f>
        <v>21.31825</v>
      </c>
      <c r="J21" s="54">
        <f>J22+J23+J24</f>
        <v>0</v>
      </c>
      <c r="K21" s="54">
        <f>K22+K23+K24</f>
        <v>0.52989</v>
      </c>
      <c r="L21" s="55">
        <f>L8-L18-L20</f>
        <v>3.643391999796908E-05</v>
      </c>
      <c r="M21" s="92">
        <f>SUM(N21:Q21)</f>
        <v>21.398536696480804</v>
      </c>
      <c r="N21" s="54">
        <f>N22+N23+N24</f>
        <v>21.1191</v>
      </c>
      <c r="O21" s="54">
        <f>O22+O23+O24</f>
        <v>0</v>
      </c>
      <c r="P21" s="54">
        <f>P22+P23+P24</f>
        <v>0.2794</v>
      </c>
      <c r="Q21" s="55">
        <f>Q8-Q18-Q20</f>
        <v>3.6696480805398224E-05</v>
      </c>
      <c r="R21" s="92">
        <f>SUM(S21:V21)</f>
        <v>21.242379554590002</v>
      </c>
      <c r="S21" s="54">
        <f>S22+S23+S24</f>
        <v>20.9651</v>
      </c>
      <c r="T21" s="54">
        <f>T22+T23+T24</f>
        <v>0</v>
      </c>
      <c r="U21" s="54">
        <f>U22+U23+U24</f>
        <v>0.2773</v>
      </c>
      <c r="V21" s="55">
        <f>V8-V18-V20</f>
        <v>-2.0445409998126607E-05</v>
      </c>
      <c r="W21" s="92">
        <f>SUM(X21:AA21)</f>
        <v>21.32065034608</v>
      </c>
      <c r="X21" s="54">
        <f>X22+X23+X24</f>
        <v>21.0424</v>
      </c>
      <c r="Y21" s="54">
        <f>Y22+Y23+Y24</f>
        <v>0</v>
      </c>
      <c r="Z21" s="54">
        <f>Z22+Z23+Z24</f>
        <v>0.2783</v>
      </c>
      <c r="AA21" s="55">
        <f>AA8-AA18-AA20</f>
        <v>-4.965392000094715E-05</v>
      </c>
      <c r="AB21" s="119">
        <f>SUM(AC21:AF21)</f>
        <v>22.199011054972996</v>
      </c>
      <c r="AC21" s="109">
        <f>AC22+AC23+AC24</f>
        <v>21.6449</v>
      </c>
      <c r="AD21" s="109">
        <f>AD22+AD23+AD24</f>
        <v>0</v>
      </c>
      <c r="AE21" s="109">
        <f>AE22+AE23+AE24</f>
        <v>0.5541</v>
      </c>
      <c r="AF21" s="110">
        <f>AF8-AF18-AF20</f>
        <v>1.1054972997137646E-05</v>
      </c>
      <c r="AG21" s="119">
        <f>SUM(AH21:AK21)</f>
        <v>22.036724211199996</v>
      </c>
      <c r="AH21" s="109">
        <f>AH22+AH23+AH24</f>
        <v>21.48267</v>
      </c>
      <c r="AI21" s="109">
        <f>AI22+AI23+AI24</f>
        <v>0</v>
      </c>
      <c r="AJ21" s="109">
        <f>AJ22+AJ23+AJ24</f>
        <v>0.55408</v>
      </c>
      <c r="AK21" s="110">
        <f>AK8-AK18-AK20</f>
        <v>-2.5788800003256895E-05</v>
      </c>
      <c r="AL21" s="119">
        <f>SUM(AM21:AP21)</f>
        <v>22.117828384529997</v>
      </c>
      <c r="AM21" s="109">
        <f>AM22+AM23+AM24</f>
        <v>21.56377</v>
      </c>
      <c r="AN21" s="109">
        <f>AN22+AN23+AN24</f>
        <v>0</v>
      </c>
      <c r="AO21" s="109">
        <f>AO22+AO23+AO24</f>
        <v>0.55408</v>
      </c>
      <c r="AP21" s="110">
        <f>AP8-AP18-AP20</f>
        <v>-2.161547000445463E-05</v>
      </c>
    </row>
    <row r="22" spans="1:42" s="1" customFormat="1" ht="30.75">
      <c r="A22" s="20" t="s">
        <v>4</v>
      </c>
      <c r="B22" s="21" t="s">
        <v>8</v>
      </c>
      <c r="C22" s="65">
        <f>SUM(D22:G22)</f>
        <v>4.896609999999999</v>
      </c>
      <c r="D22" s="61">
        <f>4.89661-F22</f>
        <v>4.3957999999999995</v>
      </c>
      <c r="E22" s="68"/>
      <c r="F22" s="68">
        <v>0.50081</v>
      </c>
      <c r="G22" s="69">
        <v>0</v>
      </c>
      <c r="H22" s="65">
        <f>SUM(I22:L22)</f>
        <v>4.896609999999999</v>
      </c>
      <c r="I22" s="61">
        <f>4.89661-K22</f>
        <v>4.3957999999999995</v>
      </c>
      <c r="J22" s="68"/>
      <c r="K22" s="68">
        <v>0.50081</v>
      </c>
      <c r="L22" s="69">
        <v>0</v>
      </c>
      <c r="M22" s="65">
        <f>SUM(N22:Q22)</f>
        <v>4.9568</v>
      </c>
      <c r="N22" s="68">
        <f>4.9568-P22</f>
        <v>4.7136000000000005</v>
      </c>
      <c r="O22" s="68"/>
      <c r="P22" s="68">
        <v>0.2432</v>
      </c>
      <c r="Q22" s="69">
        <v>0</v>
      </c>
      <c r="R22" s="65">
        <f>SUM(S22:V22)</f>
        <v>4.9206</v>
      </c>
      <c r="S22" s="68">
        <f>4.9206-U22</f>
        <v>4.679200000000001</v>
      </c>
      <c r="T22" s="68"/>
      <c r="U22" s="68">
        <v>0.2414</v>
      </c>
      <c r="V22" s="69">
        <v>0</v>
      </c>
      <c r="W22" s="65">
        <f>SUM(X22:AA22)</f>
        <v>4.9386</v>
      </c>
      <c r="X22" s="68">
        <f>4.9386-Z22</f>
        <v>4.6963</v>
      </c>
      <c r="Y22" s="68"/>
      <c r="Z22" s="68">
        <v>0.2423</v>
      </c>
      <c r="AA22" s="69"/>
      <c r="AB22" s="113">
        <f>SUM(AC22:AF22)</f>
        <v>5.1853</v>
      </c>
      <c r="AC22" s="68">
        <f>5.1853-AE22</f>
        <v>4.660299999999999</v>
      </c>
      <c r="AD22" s="68"/>
      <c r="AE22" s="68">
        <v>0.525</v>
      </c>
      <c r="AF22" s="69"/>
      <c r="AG22" s="113">
        <f>SUM(AH22:AK22)</f>
        <v>5.14737</v>
      </c>
      <c r="AH22" s="68">
        <f>5.14737-AJ22</f>
        <v>4.622369999999999</v>
      </c>
      <c r="AI22" s="68"/>
      <c r="AJ22" s="68">
        <v>0.525</v>
      </c>
      <c r="AK22" s="69">
        <v>0</v>
      </c>
      <c r="AL22" s="113">
        <f>SUM(AM22:AP22)</f>
        <v>5.16632</v>
      </c>
      <c r="AM22" s="61">
        <f>5.16632-AO22</f>
        <v>4.6413199999999994</v>
      </c>
      <c r="AN22" s="68"/>
      <c r="AO22" s="68">
        <v>0.525</v>
      </c>
      <c r="AP22" s="69"/>
    </row>
    <row r="23" spans="1:42" s="1" customFormat="1" ht="15" customHeight="1">
      <c r="A23" s="20" t="s">
        <v>5</v>
      </c>
      <c r="B23" s="21" t="s">
        <v>29</v>
      </c>
      <c r="C23" s="65">
        <f>SUM(D23:G23)</f>
        <v>0</v>
      </c>
      <c r="D23" s="61"/>
      <c r="E23" s="61"/>
      <c r="F23" s="61"/>
      <c r="G23" s="70"/>
      <c r="H23" s="65">
        <f>SUM(I23:L23)</f>
        <v>0</v>
      </c>
      <c r="I23" s="61"/>
      <c r="J23" s="61"/>
      <c r="K23" s="61"/>
      <c r="L23" s="70"/>
      <c r="M23" s="65">
        <f>SUM(N23:Q23)</f>
        <v>0</v>
      </c>
      <c r="N23" s="61"/>
      <c r="O23" s="61"/>
      <c r="P23" s="61"/>
      <c r="Q23" s="70"/>
      <c r="R23" s="65">
        <f>SUM(S23:V23)</f>
        <v>0</v>
      </c>
      <c r="S23" s="61"/>
      <c r="T23" s="61"/>
      <c r="U23" s="61"/>
      <c r="V23" s="70"/>
      <c r="W23" s="65">
        <f>SUM(X23:AA23)</f>
        <v>0</v>
      </c>
      <c r="X23" s="61"/>
      <c r="Y23" s="61"/>
      <c r="Z23" s="61"/>
      <c r="AA23" s="70"/>
      <c r="AB23" s="113">
        <f>SUM(AC23:AF23)</f>
        <v>0</v>
      </c>
      <c r="AC23" s="61"/>
      <c r="AD23" s="61"/>
      <c r="AE23" s="61"/>
      <c r="AF23" s="70"/>
      <c r="AG23" s="113">
        <f>SUM(AH23:AK23)</f>
        <v>0</v>
      </c>
      <c r="AH23" s="61"/>
      <c r="AI23" s="61"/>
      <c r="AJ23" s="61"/>
      <c r="AK23" s="70"/>
      <c r="AL23" s="113">
        <f>SUM(AM23:AP23)</f>
        <v>0</v>
      </c>
      <c r="AM23" s="61"/>
      <c r="AN23" s="61"/>
      <c r="AO23" s="61"/>
      <c r="AP23" s="70"/>
    </row>
    <row r="24" spans="1:42" s="1" customFormat="1" ht="36" customHeight="1" thickBot="1">
      <c r="A24" s="24" t="s">
        <v>9</v>
      </c>
      <c r="B24" s="25" t="s">
        <v>30</v>
      </c>
      <c r="C24" s="71">
        <f>SUM(D24:G24)</f>
        <v>16.95153</v>
      </c>
      <c r="D24" s="72">
        <f>16.95153-F24</f>
        <v>16.92245</v>
      </c>
      <c r="E24" s="72"/>
      <c r="F24" s="72">
        <v>0.02908</v>
      </c>
      <c r="G24" s="73"/>
      <c r="H24" s="71">
        <f>SUM(I24:L24)</f>
        <v>16.95153</v>
      </c>
      <c r="I24" s="72">
        <f>16.95153-K24</f>
        <v>16.92245</v>
      </c>
      <c r="J24" s="72"/>
      <c r="K24" s="72">
        <v>0.02908</v>
      </c>
      <c r="L24" s="73"/>
      <c r="M24" s="71">
        <f>SUM(N24:Q24)</f>
        <v>16.4417</v>
      </c>
      <c r="N24" s="72">
        <f>16.4417-P24</f>
        <v>16.4055</v>
      </c>
      <c r="O24" s="72"/>
      <c r="P24" s="72">
        <v>0.0362</v>
      </c>
      <c r="Q24" s="73"/>
      <c r="R24" s="71">
        <f>SUM(S24:V24)</f>
        <v>16.3218</v>
      </c>
      <c r="S24" s="72">
        <f>16.3218-U24</f>
        <v>16.285899999999998</v>
      </c>
      <c r="T24" s="72"/>
      <c r="U24" s="72">
        <v>0.0359</v>
      </c>
      <c r="V24" s="73"/>
      <c r="W24" s="71">
        <f>SUM(X24:AA24)</f>
        <v>16.3821</v>
      </c>
      <c r="X24" s="72">
        <f>16.3821-Z24</f>
        <v>16.3461</v>
      </c>
      <c r="Y24" s="72"/>
      <c r="Z24" s="72">
        <v>0.036</v>
      </c>
      <c r="AA24" s="73"/>
      <c r="AB24" s="114">
        <f>SUM(AC24:AF24)</f>
        <v>17.0137</v>
      </c>
      <c r="AC24" s="72">
        <f>17.0137-AE24</f>
        <v>16.9846</v>
      </c>
      <c r="AD24" s="72"/>
      <c r="AE24" s="72">
        <v>0.0291</v>
      </c>
      <c r="AF24" s="73"/>
      <c r="AG24" s="114">
        <f>SUM(AH24:AK24)</f>
        <v>16.88938</v>
      </c>
      <c r="AH24" s="72">
        <f>16.88938-AJ24</f>
        <v>16.8603</v>
      </c>
      <c r="AI24" s="72"/>
      <c r="AJ24" s="72">
        <v>0.02908</v>
      </c>
      <c r="AK24" s="73"/>
      <c r="AL24" s="114">
        <f>SUM(AM24:AP24)</f>
        <v>16.95153</v>
      </c>
      <c r="AM24" s="72">
        <f>16.95153-AO24</f>
        <v>16.92245</v>
      </c>
      <c r="AN24" s="72"/>
      <c r="AO24" s="72">
        <v>0.02908</v>
      </c>
      <c r="AP24" s="73"/>
    </row>
    <row r="25" spans="1:42" s="1" customFormat="1" ht="15.75" thickBot="1">
      <c r="A25" s="47"/>
      <c r="B25" s="105" t="s">
        <v>11</v>
      </c>
      <c r="C25" s="104"/>
      <c r="D25" s="75">
        <f>D8-D18-D20-D22-D23-D24-E11-F11-G11</f>
        <v>0</v>
      </c>
      <c r="E25" s="75">
        <f>E8-E18-E20-E22-E23-E24-F12-G12</f>
        <v>0</v>
      </c>
      <c r="F25" s="75">
        <f>F8-F18-F20-F22-F23-F24-G13</f>
        <v>-6.938893903907228E-18</v>
      </c>
      <c r="G25" s="76">
        <f>G8-G18-G20-G22-G23-G24</f>
        <v>4.3656403153735646E-05</v>
      </c>
      <c r="H25" s="104"/>
      <c r="I25" s="75">
        <f>I8-I18-I20-I22-I23-I24-J11-K11-L11</f>
        <v>0</v>
      </c>
      <c r="J25" s="75">
        <f>J8-J18-J20-J22-J23-J24-K12-L12</f>
        <v>0</v>
      </c>
      <c r="K25" s="75">
        <f>K8-K18-K20-K22-K23-K24-L13</f>
        <v>-6.938893903907228E-18</v>
      </c>
      <c r="L25" s="76">
        <f>L8-L18-L20-L22-L23-L24</f>
        <v>3.643391999796908E-05</v>
      </c>
      <c r="M25" s="103"/>
      <c r="N25" s="75">
        <f>N8-N18-N20-N22-N23-N24-O11-P11-Q11</f>
        <v>0</v>
      </c>
      <c r="O25" s="75">
        <f>O8-O18-O20-O22-O23-O24-P12-Q12</f>
        <v>0</v>
      </c>
      <c r="P25" s="75">
        <f>P8-P18-P20-P22-P23-P24-Q13</f>
        <v>-2.0816681711721685E-17</v>
      </c>
      <c r="Q25" s="76">
        <f>Q8-Q18-Q20-Q22-Q23-Q24</f>
        <v>3.6696480805398224E-05</v>
      </c>
      <c r="R25" s="103"/>
      <c r="S25" s="75">
        <f>S8-S18-S20-S22-S23-S24-T11-U11-V11</f>
        <v>0</v>
      </c>
      <c r="T25" s="75">
        <f>T8-T18-T20-T22-T23-T24-U12-V12</f>
        <v>0</v>
      </c>
      <c r="U25" s="75">
        <f>U8-U18-U20-U22-U23-U24-V13</f>
        <v>-1.3877787807814457E-17</v>
      </c>
      <c r="V25" s="76">
        <f>V8-V18-V20-V22-V23-V24</f>
        <v>-2.0445409998126607E-05</v>
      </c>
      <c r="W25" s="103"/>
      <c r="X25" s="75">
        <f>X8-X18-X20-X22-X23-X24-Y11-Z11-AA11</f>
        <v>0</v>
      </c>
      <c r="Y25" s="75">
        <f>Y8-Y18-Y20-Y22-Y23-Y24-Z12-AA12</f>
        <v>0</v>
      </c>
      <c r="Z25" s="75">
        <f>Z8-Z18-Z20-Z22-Z23-Z24-AA13</f>
        <v>6.938893903907228E-18</v>
      </c>
      <c r="AA25" s="76">
        <f>AA8-AA18-AA20-AA22-AA23-AA24</f>
        <v>-4.965392000094715E-05</v>
      </c>
      <c r="AB25" s="120"/>
      <c r="AC25" s="116">
        <f>AC8-AC18-AC20-AC22-AC23-AC24-AD11-AE11-AF11</f>
        <v>0</v>
      </c>
      <c r="AD25" s="116">
        <f>AD8-AD18-AD20-AD22-AD23-AD24-AE12-AF12</f>
        <v>0</v>
      </c>
      <c r="AE25" s="116">
        <f>AE8-AE18-AE20-AE22-AE23-AE24-AF13</f>
        <v>1.3877787807814457E-17</v>
      </c>
      <c r="AF25" s="117">
        <f>AF8-AF18-AF20-AF22-AF23-AF24</f>
        <v>1.1054972997137646E-05</v>
      </c>
      <c r="AG25" s="120"/>
      <c r="AH25" s="116">
        <f>AH8-AH18-AH20-AH22-AH23-AH24-AI11-AJ11-AK11</f>
        <v>0</v>
      </c>
      <c r="AI25" s="116">
        <f>AI8-AI18-AI20-AI22-AI23-AI24-AJ12-AK12</f>
        <v>0</v>
      </c>
      <c r="AJ25" s="116">
        <f>AJ8-AJ18-AJ20-AJ22-AJ23-AJ24-AK13</f>
        <v>-6.938893903907228E-18</v>
      </c>
      <c r="AK25" s="117">
        <f>AK8-AK18-AK20-AK22-AK23-AK24</f>
        <v>-2.5788800003256895E-05</v>
      </c>
      <c r="AL25" s="120"/>
      <c r="AM25" s="116">
        <f>AM8-AM18-AM20-AM22-AM23-AM24-AN11-AO11-AP11</f>
        <v>0</v>
      </c>
      <c r="AN25" s="116">
        <f>AN8-AN18-AN20-AN22-AN23-AN24-AO12-AP12</f>
        <v>0</v>
      </c>
      <c r="AO25" s="116">
        <f>AO8-AO18-AO20-AO22-AO23-AO24-AP13</f>
        <v>-6.938893903907228E-18</v>
      </c>
      <c r="AP25" s="117">
        <f>AP8-AP18-AP20-AP22-AP23-AP24</f>
        <v>-2.161547000445463E-05</v>
      </c>
    </row>
    <row r="26" spans="1:12" s="1" customFormat="1" ht="15">
      <c r="A26" s="33"/>
      <c r="B26" s="48"/>
      <c r="C26" s="33"/>
      <c r="D26" s="33"/>
      <c r="E26" s="33"/>
      <c r="F26" s="33"/>
      <c r="G26" s="33"/>
      <c r="H26" s="33"/>
      <c r="I26" s="33"/>
      <c r="J26" s="33"/>
      <c r="K26" s="33"/>
      <c r="L26" s="33"/>
    </row>
    <row r="27" spans="1:38" s="1" customFormat="1" ht="15">
      <c r="A27" s="33"/>
      <c r="B27" s="33" t="s">
        <v>66</v>
      </c>
      <c r="C27" s="33"/>
      <c r="D27" s="33"/>
      <c r="E27" s="33"/>
      <c r="F27" s="33"/>
      <c r="G27" s="33"/>
      <c r="H27" s="184"/>
      <c r="I27" s="33"/>
      <c r="J27" s="33"/>
      <c r="K27" s="33"/>
      <c r="L27" s="33"/>
      <c r="AB27" s="131"/>
      <c r="AE27" s="131"/>
      <c r="AG27" s="131"/>
      <c r="AL27" s="131"/>
    </row>
    <row r="28" spans="1:12" ht="15" hidden="1">
      <c r="A28" s="33"/>
      <c r="B28" s="33"/>
      <c r="C28" s="33"/>
      <c r="D28" s="33"/>
      <c r="E28" s="33"/>
      <c r="F28" s="33"/>
      <c r="G28" s="33"/>
      <c r="H28" s="33"/>
      <c r="I28" s="33"/>
      <c r="J28" s="5"/>
      <c r="K28" s="5"/>
      <c r="L28" s="5"/>
    </row>
    <row r="29" spans="1:12" ht="15.75" hidden="1" thickBot="1">
      <c r="A29" s="33"/>
      <c r="B29" s="34" t="s">
        <v>33</v>
      </c>
      <c r="C29" s="33"/>
      <c r="D29" s="33"/>
      <c r="E29" s="33"/>
      <c r="F29" s="33"/>
      <c r="G29" s="33"/>
      <c r="H29" s="33"/>
      <c r="I29" s="33"/>
      <c r="J29" s="5"/>
      <c r="K29" s="5"/>
      <c r="L29" s="5"/>
    </row>
    <row r="30" spans="1:42" ht="30.75" hidden="1">
      <c r="A30" s="35" t="s">
        <v>45</v>
      </c>
      <c r="B30" s="36" t="s">
        <v>31</v>
      </c>
      <c r="C30" s="8" t="s">
        <v>40</v>
      </c>
      <c r="D30" s="8" t="s">
        <v>47</v>
      </c>
      <c r="E30" s="8" t="s">
        <v>48</v>
      </c>
      <c r="F30" s="8" t="s">
        <v>49</v>
      </c>
      <c r="G30" s="9" t="s">
        <v>50</v>
      </c>
      <c r="H30" s="8" t="s">
        <v>40</v>
      </c>
      <c r="I30" s="8" t="s">
        <v>47</v>
      </c>
      <c r="J30" s="8" t="s">
        <v>48</v>
      </c>
      <c r="K30" s="8" t="s">
        <v>49</v>
      </c>
      <c r="L30" s="9" t="s">
        <v>50</v>
      </c>
      <c r="M30" s="8" t="s">
        <v>40</v>
      </c>
      <c r="N30" s="8" t="s">
        <v>47</v>
      </c>
      <c r="O30" s="8" t="s">
        <v>48</v>
      </c>
      <c r="P30" s="8" t="s">
        <v>49</v>
      </c>
      <c r="Q30" s="9" t="s">
        <v>50</v>
      </c>
      <c r="R30" s="8" t="s">
        <v>40</v>
      </c>
      <c r="S30" s="8" t="s">
        <v>47</v>
      </c>
      <c r="T30" s="8" t="s">
        <v>48</v>
      </c>
      <c r="U30" s="8" t="s">
        <v>49</v>
      </c>
      <c r="V30" s="9" t="s">
        <v>50</v>
      </c>
      <c r="W30" s="8" t="s">
        <v>40</v>
      </c>
      <c r="X30" s="8" t="s">
        <v>47</v>
      </c>
      <c r="Y30" s="8" t="s">
        <v>48</v>
      </c>
      <c r="Z30" s="8" t="s">
        <v>49</v>
      </c>
      <c r="AA30" s="9" t="s">
        <v>50</v>
      </c>
      <c r="AB30" s="8"/>
      <c r="AC30" s="8"/>
      <c r="AD30" s="8"/>
      <c r="AE30" s="8"/>
      <c r="AF30" s="9"/>
      <c r="AG30" s="8"/>
      <c r="AH30" s="8"/>
      <c r="AI30" s="8"/>
      <c r="AJ30" s="8"/>
      <c r="AK30" s="9" t="s">
        <v>50</v>
      </c>
      <c r="AL30" s="8" t="s">
        <v>40</v>
      </c>
      <c r="AM30" s="8" t="s">
        <v>47</v>
      </c>
      <c r="AN30" s="8" t="s">
        <v>48</v>
      </c>
      <c r="AO30" s="8" t="s">
        <v>49</v>
      </c>
      <c r="AP30" s="9" t="s">
        <v>50</v>
      </c>
    </row>
    <row r="31" spans="1:42" ht="15" hidden="1">
      <c r="A31" s="37"/>
      <c r="B31" s="38"/>
      <c r="C31" s="79">
        <f>SUM(D31:G31)</f>
        <v>0</v>
      </c>
      <c r="D31" s="80"/>
      <c r="E31" s="80"/>
      <c r="F31" s="80"/>
      <c r="G31" s="81"/>
      <c r="H31" s="96">
        <f>SUM(I31:L31)</f>
        <v>0</v>
      </c>
      <c r="I31" s="80"/>
      <c r="J31" s="80"/>
      <c r="K31" s="80"/>
      <c r="L31" s="81"/>
      <c r="M31" s="96">
        <f>SUM(N31:Q31)</f>
        <v>0</v>
      </c>
      <c r="N31" s="80"/>
      <c r="O31" s="80"/>
      <c r="P31" s="80"/>
      <c r="Q31" s="81"/>
      <c r="R31" s="96">
        <f>SUM(S31:V31)</f>
        <v>0</v>
      </c>
      <c r="S31" s="80"/>
      <c r="T31" s="80"/>
      <c r="U31" s="80"/>
      <c r="V31" s="81"/>
      <c r="W31" s="96">
        <f>SUM(X31:AA31)</f>
        <v>0</v>
      </c>
      <c r="X31" s="80"/>
      <c r="Y31" s="80"/>
      <c r="Z31" s="80"/>
      <c r="AA31" s="81"/>
      <c r="AB31" s="96"/>
      <c r="AC31" s="80"/>
      <c r="AD31" s="80"/>
      <c r="AE31" s="80"/>
      <c r="AF31" s="81"/>
      <c r="AG31" s="96"/>
      <c r="AH31" s="80"/>
      <c r="AI31" s="80"/>
      <c r="AJ31" s="80"/>
      <c r="AK31" s="81"/>
      <c r="AL31" s="96">
        <f>SUM(AM31:AP31)</f>
        <v>0</v>
      </c>
      <c r="AM31" s="80"/>
      <c r="AN31" s="80"/>
      <c r="AO31" s="80"/>
      <c r="AP31" s="81"/>
    </row>
    <row r="32" spans="1:42" ht="15" hidden="1">
      <c r="A32" s="37"/>
      <c r="B32" s="38"/>
      <c r="C32" s="79">
        <f>SUM(D32:G32)</f>
        <v>0</v>
      </c>
      <c r="D32" s="80"/>
      <c r="E32" s="80"/>
      <c r="F32" s="80"/>
      <c r="G32" s="81"/>
      <c r="H32" s="96">
        <f>SUM(I32:L32)</f>
        <v>0</v>
      </c>
      <c r="I32" s="80"/>
      <c r="J32" s="80"/>
      <c r="K32" s="80"/>
      <c r="L32" s="81"/>
      <c r="M32" s="96">
        <f>SUM(N32:Q32)</f>
        <v>0</v>
      </c>
      <c r="N32" s="80"/>
      <c r="O32" s="80"/>
      <c r="P32" s="80"/>
      <c r="Q32" s="81"/>
      <c r="R32" s="96">
        <f>SUM(S32:V32)</f>
        <v>0</v>
      </c>
      <c r="S32" s="80"/>
      <c r="T32" s="80"/>
      <c r="U32" s="80"/>
      <c r="V32" s="81"/>
      <c r="W32" s="96">
        <f>SUM(X32:AA32)</f>
        <v>0</v>
      </c>
      <c r="X32" s="80"/>
      <c r="Y32" s="80"/>
      <c r="Z32" s="80"/>
      <c r="AA32" s="81"/>
      <c r="AB32" s="96"/>
      <c r="AC32" s="80"/>
      <c r="AD32" s="80"/>
      <c r="AE32" s="80"/>
      <c r="AF32" s="81"/>
      <c r="AG32" s="96"/>
      <c r="AH32" s="80"/>
      <c r="AI32" s="80"/>
      <c r="AJ32" s="80"/>
      <c r="AK32" s="81"/>
      <c r="AL32" s="96">
        <f>SUM(AM32:AP32)</f>
        <v>0</v>
      </c>
      <c r="AM32" s="80"/>
      <c r="AN32" s="80"/>
      <c r="AO32" s="80"/>
      <c r="AP32" s="81"/>
    </row>
    <row r="33" spans="1:42" ht="15" hidden="1">
      <c r="A33" s="37"/>
      <c r="B33" s="38"/>
      <c r="C33" s="79">
        <f>SUM(D33:G33)</f>
        <v>0</v>
      </c>
      <c r="D33" s="80"/>
      <c r="E33" s="80"/>
      <c r="F33" s="80"/>
      <c r="G33" s="81"/>
      <c r="H33" s="96">
        <f>SUM(I33:L33)</f>
        <v>0</v>
      </c>
      <c r="I33" s="80"/>
      <c r="J33" s="80"/>
      <c r="K33" s="80"/>
      <c r="L33" s="81"/>
      <c r="M33" s="96">
        <f>SUM(N33:Q33)</f>
        <v>0</v>
      </c>
      <c r="N33" s="80"/>
      <c r="O33" s="80"/>
      <c r="P33" s="80"/>
      <c r="Q33" s="81"/>
      <c r="R33" s="96">
        <f>SUM(S33:V33)</f>
        <v>0</v>
      </c>
      <c r="S33" s="80"/>
      <c r="T33" s="80"/>
      <c r="U33" s="80"/>
      <c r="V33" s="81"/>
      <c r="W33" s="96">
        <f>SUM(X33:AA33)</f>
        <v>0</v>
      </c>
      <c r="X33" s="80"/>
      <c r="Y33" s="80"/>
      <c r="Z33" s="80"/>
      <c r="AA33" s="81"/>
      <c r="AB33" s="96"/>
      <c r="AC33" s="80"/>
      <c r="AD33" s="80"/>
      <c r="AE33" s="80"/>
      <c r="AF33" s="81"/>
      <c r="AG33" s="96"/>
      <c r="AH33" s="80"/>
      <c r="AI33" s="80"/>
      <c r="AJ33" s="80"/>
      <c r="AK33" s="81"/>
      <c r="AL33" s="96">
        <f>SUM(AM33:AP33)</f>
        <v>0</v>
      </c>
      <c r="AM33" s="80"/>
      <c r="AN33" s="80"/>
      <c r="AO33" s="80"/>
      <c r="AP33" s="81"/>
    </row>
    <row r="34" spans="1:42" ht="15.75" hidden="1" thickBot="1">
      <c r="A34" s="49"/>
      <c r="B34" s="40" t="s">
        <v>12</v>
      </c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</row>
    <row r="35" spans="1:42" ht="15.75" hidden="1" thickBot="1">
      <c r="A35" s="41"/>
      <c r="B35" s="42" t="s">
        <v>46</v>
      </c>
      <c r="C35" s="83">
        <f aca="true" t="shared" si="0" ref="C35:AA35">SUM(C31:C33)</f>
        <v>0</v>
      </c>
      <c r="D35" s="83">
        <f t="shared" si="0"/>
        <v>0</v>
      </c>
      <c r="E35" s="83">
        <f t="shared" si="0"/>
        <v>0</v>
      </c>
      <c r="F35" s="83">
        <f t="shared" si="0"/>
        <v>0</v>
      </c>
      <c r="G35" s="84">
        <f t="shared" si="0"/>
        <v>0</v>
      </c>
      <c r="H35" s="97">
        <f t="shared" si="0"/>
        <v>0</v>
      </c>
      <c r="I35" s="97">
        <f t="shared" si="0"/>
        <v>0</v>
      </c>
      <c r="J35" s="97">
        <f t="shared" si="0"/>
        <v>0</v>
      </c>
      <c r="K35" s="97">
        <f t="shared" si="0"/>
        <v>0</v>
      </c>
      <c r="L35" s="98">
        <f t="shared" si="0"/>
        <v>0</v>
      </c>
      <c r="M35" s="97">
        <f t="shared" si="0"/>
        <v>0</v>
      </c>
      <c r="N35" s="97">
        <f t="shared" si="0"/>
        <v>0</v>
      </c>
      <c r="O35" s="97">
        <f t="shared" si="0"/>
        <v>0</v>
      </c>
      <c r="P35" s="97">
        <f t="shared" si="0"/>
        <v>0</v>
      </c>
      <c r="Q35" s="98">
        <f t="shared" si="0"/>
        <v>0</v>
      </c>
      <c r="R35" s="97">
        <f t="shared" si="0"/>
        <v>0</v>
      </c>
      <c r="S35" s="97">
        <f t="shared" si="0"/>
        <v>0</v>
      </c>
      <c r="T35" s="97">
        <f t="shared" si="0"/>
        <v>0</v>
      </c>
      <c r="U35" s="97">
        <f t="shared" si="0"/>
        <v>0</v>
      </c>
      <c r="V35" s="98">
        <f t="shared" si="0"/>
        <v>0</v>
      </c>
      <c r="W35" s="97">
        <f t="shared" si="0"/>
        <v>0</v>
      </c>
      <c r="X35" s="97">
        <f t="shared" si="0"/>
        <v>0</v>
      </c>
      <c r="Y35" s="97">
        <f t="shared" si="0"/>
        <v>0</v>
      </c>
      <c r="Z35" s="97">
        <f t="shared" si="0"/>
        <v>0</v>
      </c>
      <c r="AA35" s="98">
        <f t="shared" si="0"/>
        <v>0</v>
      </c>
      <c r="AB35" s="97"/>
      <c r="AC35" s="97"/>
      <c r="AD35" s="97"/>
      <c r="AE35" s="97"/>
      <c r="AF35" s="98"/>
      <c r="AG35" s="97"/>
      <c r="AH35" s="97"/>
      <c r="AI35" s="97"/>
      <c r="AJ35" s="97"/>
      <c r="AK35" s="98">
        <f aca="true" t="shared" si="1" ref="AK35:AP35">SUM(AK31:AK33)</f>
        <v>0</v>
      </c>
      <c r="AL35" s="97">
        <f t="shared" si="1"/>
        <v>0</v>
      </c>
      <c r="AM35" s="97">
        <f t="shared" si="1"/>
        <v>0</v>
      </c>
      <c r="AN35" s="97">
        <f t="shared" si="1"/>
        <v>0</v>
      </c>
      <c r="AO35" s="97">
        <f t="shared" si="1"/>
        <v>0</v>
      </c>
      <c r="AP35" s="98">
        <f t="shared" si="1"/>
        <v>0</v>
      </c>
    </row>
    <row r="36" spans="8:9" ht="21" customHeight="1">
      <c r="H36" s="39"/>
      <c r="I36" s="39"/>
    </row>
    <row r="37" spans="2:9" ht="15.75" thickBot="1">
      <c r="B37" s="34" t="s">
        <v>34</v>
      </c>
      <c r="H37" s="39"/>
      <c r="I37" s="39"/>
    </row>
    <row r="38" spans="1:42" ht="30.75">
      <c r="A38" s="35" t="s">
        <v>45</v>
      </c>
      <c r="B38" s="36" t="s">
        <v>31</v>
      </c>
      <c r="C38" s="8" t="s">
        <v>40</v>
      </c>
      <c r="D38" s="8" t="s">
        <v>47</v>
      </c>
      <c r="E38" s="8" t="s">
        <v>48</v>
      </c>
      <c r="F38" s="8" t="s">
        <v>49</v>
      </c>
      <c r="G38" s="9" t="s">
        <v>50</v>
      </c>
      <c r="H38" s="8" t="s">
        <v>40</v>
      </c>
      <c r="I38" s="8" t="s">
        <v>47</v>
      </c>
      <c r="J38" s="8" t="s">
        <v>48</v>
      </c>
      <c r="K38" s="8" t="s">
        <v>49</v>
      </c>
      <c r="L38" s="9" t="s">
        <v>50</v>
      </c>
      <c r="M38" s="8" t="s">
        <v>40</v>
      </c>
      <c r="N38" s="8" t="s">
        <v>47</v>
      </c>
      <c r="O38" s="8" t="s">
        <v>48</v>
      </c>
      <c r="P38" s="8" t="s">
        <v>49</v>
      </c>
      <c r="Q38" s="9" t="s">
        <v>50</v>
      </c>
      <c r="R38" s="8" t="s">
        <v>40</v>
      </c>
      <c r="S38" s="8" t="s">
        <v>47</v>
      </c>
      <c r="T38" s="8" t="s">
        <v>48</v>
      </c>
      <c r="U38" s="8" t="s">
        <v>49</v>
      </c>
      <c r="V38" s="9" t="s">
        <v>50</v>
      </c>
      <c r="W38" s="8" t="s">
        <v>40</v>
      </c>
      <c r="X38" s="8" t="s">
        <v>47</v>
      </c>
      <c r="Y38" s="8" t="s">
        <v>48</v>
      </c>
      <c r="Z38" s="8" t="s">
        <v>49</v>
      </c>
      <c r="AA38" s="9" t="s">
        <v>50</v>
      </c>
      <c r="AB38" s="8" t="s">
        <v>40</v>
      </c>
      <c r="AC38" s="8" t="s">
        <v>47</v>
      </c>
      <c r="AD38" s="8" t="s">
        <v>48</v>
      </c>
      <c r="AE38" s="8" t="s">
        <v>49</v>
      </c>
      <c r="AF38" s="9" t="s">
        <v>50</v>
      </c>
      <c r="AG38" s="8" t="s">
        <v>40</v>
      </c>
      <c r="AH38" s="8" t="s">
        <v>47</v>
      </c>
      <c r="AI38" s="8" t="s">
        <v>48</v>
      </c>
      <c r="AJ38" s="8" t="s">
        <v>49</v>
      </c>
      <c r="AK38" s="9" t="s">
        <v>50</v>
      </c>
      <c r="AL38" s="8" t="s">
        <v>40</v>
      </c>
      <c r="AM38" s="8" t="s">
        <v>47</v>
      </c>
      <c r="AN38" s="8" t="s">
        <v>48</v>
      </c>
      <c r="AO38" s="8" t="s">
        <v>49</v>
      </c>
      <c r="AP38" s="9" t="s">
        <v>50</v>
      </c>
    </row>
    <row r="39" spans="1:42" ht="18.75" customHeight="1">
      <c r="A39" s="43"/>
      <c r="B39" s="38" t="s">
        <v>85</v>
      </c>
      <c r="C39" s="79">
        <f>SUM(D39:G39)</f>
        <v>16.95153</v>
      </c>
      <c r="D39" s="80">
        <f>D24</f>
        <v>16.92245</v>
      </c>
      <c r="E39" s="80">
        <f>E24</f>
        <v>0</v>
      </c>
      <c r="F39" s="80">
        <f>F24</f>
        <v>0.02908</v>
      </c>
      <c r="G39" s="81"/>
      <c r="H39" s="96">
        <f>SUM(I39:L39)</f>
        <v>16.95153</v>
      </c>
      <c r="I39" s="80">
        <f>I24</f>
        <v>16.92245</v>
      </c>
      <c r="J39" s="80">
        <f>J24</f>
        <v>0</v>
      </c>
      <c r="K39" s="80">
        <f>K24</f>
        <v>0.02908</v>
      </c>
      <c r="L39" s="81"/>
      <c r="M39" s="96">
        <f>SUM(N39:Q39)</f>
        <v>16.4417</v>
      </c>
      <c r="N39" s="80">
        <f>N24</f>
        <v>16.4055</v>
      </c>
      <c r="O39" s="80">
        <f>O24</f>
        <v>0</v>
      </c>
      <c r="P39" s="80">
        <f>P24</f>
        <v>0.0362</v>
      </c>
      <c r="Q39" s="81"/>
      <c r="R39" s="96">
        <f>SUM(S39:V39)</f>
        <v>16.3218</v>
      </c>
      <c r="S39" s="80">
        <f>S24</f>
        <v>16.285899999999998</v>
      </c>
      <c r="T39" s="80">
        <f>T24</f>
        <v>0</v>
      </c>
      <c r="U39" s="80">
        <f>U24</f>
        <v>0.0359</v>
      </c>
      <c r="V39" s="81"/>
      <c r="W39" s="96">
        <f>SUM(X39:AA39)</f>
        <v>16.3821</v>
      </c>
      <c r="X39" s="80">
        <f>X24</f>
        <v>16.3461</v>
      </c>
      <c r="Y39" s="80">
        <f>Y24</f>
        <v>0</v>
      </c>
      <c r="Z39" s="80">
        <f>Z24</f>
        <v>0.036</v>
      </c>
      <c r="AA39" s="81"/>
      <c r="AB39" s="96">
        <f>SUM(AC39:AF39)</f>
        <v>17.0137</v>
      </c>
      <c r="AC39" s="80">
        <f>AC24</f>
        <v>16.9846</v>
      </c>
      <c r="AD39" s="80">
        <f>AD24</f>
        <v>0</v>
      </c>
      <c r="AE39" s="80">
        <f>AE24</f>
        <v>0.0291</v>
      </c>
      <c r="AF39" s="81"/>
      <c r="AG39" s="96">
        <f>SUM(AH39:AK39)</f>
        <v>16.88938</v>
      </c>
      <c r="AH39" s="80">
        <f>AH24</f>
        <v>16.8603</v>
      </c>
      <c r="AI39" s="80">
        <f>AI24</f>
        <v>0</v>
      </c>
      <c r="AJ39" s="80">
        <f>AJ24</f>
        <v>0.02908</v>
      </c>
      <c r="AK39" s="81"/>
      <c r="AL39" s="96">
        <f>SUM(AM39:AP39)</f>
        <v>16.95153</v>
      </c>
      <c r="AM39" s="80">
        <f>AM24</f>
        <v>16.92245</v>
      </c>
      <c r="AN39" s="80">
        <f>AN24</f>
        <v>0</v>
      </c>
      <c r="AO39" s="80">
        <f>AO24</f>
        <v>0.02908</v>
      </c>
      <c r="AP39" s="81"/>
    </row>
    <row r="40" spans="1:42" ht="15" hidden="1">
      <c r="A40" s="44"/>
      <c r="B40" s="45"/>
      <c r="C40" s="79">
        <f>SUM(D40:G40)</f>
        <v>0</v>
      </c>
      <c r="D40" s="80"/>
      <c r="E40" s="80"/>
      <c r="F40" s="80"/>
      <c r="G40" s="81"/>
      <c r="H40" s="96">
        <f>SUM(I40:L40)</f>
        <v>0</v>
      </c>
      <c r="I40" s="80"/>
      <c r="J40" s="80"/>
      <c r="K40" s="80"/>
      <c r="L40" s="81"/>
      <c r="M40" s="96">
        <f>SUM(N40:Q40)</f>
        <v>0</v>
      </c>
      <c r="N40" s="80"/>
      <c r="O40" s="80"/>
      <c r="P40" s="80"/>
      <c r="Q40" s="81"/>
      <c r="R40" s="96">
        <f>SUM(S40:V40)</f>
        <v>0</v>
      </c>
      <c r="S40" s="80"/>
      <c r="T40" s="80"/>
      <c r="U40" s="80"/>
      <c r="V40" s="81"/>
      <c r="W40" s="96">
        <f>SUM(X40:AA40)</f>
        <v>0</v>
      </c>
      <c r="X40" s="80"/>
      <c r="Y40" s="80"/>
      <c r="Z40" s="80"/>
      <c r="AA40" s="81"/>
      <c r="AB40" s="96">
        <f>SUM(AC40:AF40)</f>
        <v>0</v>
      </c>
      <c r="AC40" s="80"/>
      <c r="AD40" s="80"/>
      <c r="AE40" s="80"/>
      <c r="AF40" s="81"/>
      <c r="AG40" s="96">
        <f>SUM(AH40:AK40)</f>
        <v>0</v>
      </c>
      <c r="AH40" s="80"/>
      <c r="AI40" s="80"/>
      <c r="AJ40" s="80"/>
      <c r="AK40" s="81"/>
      <c r="AL40" s="96">
        <f>SUM(AM40:AP40)</f>
        <v>0</v>
      </c>
      <c r="AM40" s="80"/>
      <c r="AN40" s="80"/>
      <c r="AO40" s="80"/>
      <c r="AP40" s="81"/>
    </row>
    <row r="41" spans="1:42" ht="15" hidden="1">
      <c r="A41" s="44"/>
      <c r="B41" s="45"/>
      <c r="C41" s="79">
        <f>SUM(D41:G41)</f>
        <v>0</v>
      </c>
      <c r="D41" s="80"/>
      <c r="E41" s="80"/>
      <c r="F41" s="80"/>
      <c r="G41" s="81"/>
      <c r="H41" s="96">
        <f>SUM(I41:L41)</f>
        <v>0</v>
      </c>
      <c r="I41" s="80"/>
      <c r="J41" s="80"/>
      <c r="K41" s="80"/>
      <c r="L41" s="81"/>
      <c r="M41" s="96">
        <f>SUM(N41:Q41)</f>
        <v>0</v>
      </c>
      <c r="N41" s="80"/>
      <c r="O41" s="80"/>
      <c r="P41" s="80"/>
      <c r="Q41" s="81"/>
      <c r="R41" s="96">
        <f>SUM(S41:V41)</f>
        <v>0</v>
      </c>
      <c r="S41" s="80"/>
      <c r="T41" s="80"/>
      <c r="U41" s="80"/>
      <c r="V41" s="81"/>
      <c r="W41" s="96">
        <f>SUM(X41:AA41)</f>
        <v>0</v>
      </c>
      <c r="X41" s="80"/>
      <c r="Y41" s="80"/>
      <c r="Z41" s="80"/>
      <c r="AA41" s="81"/>
      <c r="AB41" s="96">
        <f>SUM(AC41:AF41)</f>
        <v>0</v>
      </c>
      <c r="AC41" s="80"/>
      <c r="AD41" s="80"/>
      <c r="AE41" s="80"/>
      <c r="AF41" s="81"/>
      <c r="AG41" s="96">
        <f>SUM(AH41:AK41)</f>
        <v>0</v>
      </c>
      <c r="AH41" s="80"/>
      <c r="AI41" s="80"/>
      <c r="AJ41" s="80"/>
      <c r="AK41" s="81"/>
      <c r="AL41" s="96">
        <f>SUM(AM41:AP41)</f>
        <v>0</v>
      </c>
      <c r="AM41" s="80"/>
      <c r="AN41" s="80"/>
      <c r="AO41" s="80"/>
      <c r="AP41" s="81"/>
    </row>
    <row r="42" spans="1:42" ht="15.75" thickBot="1">
      <c r="A42" s="50"/>
      <c r="B42" s="40" t="s">
        <v>12</v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</row>
    <row r="43" spans="1:42" ht="18" customHeight="1" thickBot="1">
      <c r="A43" s="41"/>
      <c r="B43" s="42" t="s">
        <v>46</v>
      </c>
      <c r="C43" s="87">
        <f aca="true" t="shared" si="2" ref="C43:AA43">SUM(C39:C41)</f>
        <v>16.95153</v>
      </c>
      <c r="D43" s="87">
        <f t="shared" si="2"/>
        <v>16.92245</v>
      </c>
      <c r="E43" s="87">
        <f t="shared" si="2"/>
        <v>0</v>
      </c>
      <c r="F43" s="87">
        <f t="shared" si="2"/>
        <v>0.02908</v>
      </c>
      <c r="G43" s="88">
        <f t="shared" si="2"/>
        <v>0</v>
      </c>
      <c r="H43" s="101">
        <f t="shared" si="2"/>
        <v>16.95153</v>
      </c>
      <c r="I43" s="101">
        <f t="shared" si="2"/>
        <v>16.92245</v>
      </c>
      <c r="J43" s="101">
        <f t="shared" si="2"/>
        <v>0</v>
      </c>
      <c r="K43" s="101">
        <f t="shared" si="2"/>
        <v>0.02908</v>
      </c>
      <c r="L43" s="102">
        <f t="shared" si="2"/>
        <v>0</v>
      </c>
      <c r="M43" s="101">
        <f t="shared" si="2"/>
        <v>16.4417</v>
      </c>
      <c r="N43" s="101">
        <f t="shared" si="2"/>
        <v>16.4055</v>
      </c>
      <c r="O43" s="101">
        <f t="shared" si="2"/>
        <v>0</v>
      </c>
      <c r="P43" s="101">
        <f t="shared" si="2"/>
        <v>0.0362</v>
      </c>
      <c r="Q43" s="102">
        <f t="shared" si="2"/>
        <v>0</v>
      </c>
      <c r="R43" s="101">
        <f t="shared" si="2"/>
        <v>16.3218</v>
      </c>
      <c r="S43" s="101">
        <f t="shared" si="2"/>
        <v>16.285899999999998</v>
      </c>
      <c r="T43" s="101">
        <f t="shared" si="2"/>
        <v>0</v>
      </c>
      <c r="U43" s="101">
        <f t="shared" si="2"/>
        <v>0.0359</v>
      </c>
      <c r="V43" s="102">
        <f t="shared" si="2"/>
        <v>0</v>
      </c>
      <c r="W43" s="101">
        <f t="shared" si="2"/>
        <v>16.3821</v>
      </c>
      <c r="X43" s="101">
        <f t="shared" si="2"/>
        <v>16.3461</v>
      </c>
      <c r="Y43" s="101">
        <f t="shared" si="2"/>
        <v>0</v>
      </c>
      <c r="Z43" s="101">
        <f t="shared" si="2"/>
        <v>0.036</v>
      </c>
      <c r="AA43" s="102">
        <f t="shared" si="2"/>
        <v>0</v>
      </c>
      <c r="AB43" s="101">
        <f aca="true" t="shared" si="3" ref="AB43:AP43">SUM(AB39:AB41)</f>
        <v>17.0137</v>
      </c>
      <c r="AC43" s="101">
        <f t="shared" si="3"/>
        <v>16.9846</v>
      </c>
      <c r="AD43" s="101">
        <f t="shared" si="3"/>
        <v>0</v>
      </c>
      <c r="AE43" s="101">
        <f t="shared" si="3"/>
        <v>0.0291</v>
      </c>
      <c r="AF43" s="102">
        <f t="shared" si="3"/>
        <v>0</v>
      </c>
      <c r="AG43" s="101">
        <f t="shared" si="3"/>
        <v>16.88938</v>
      </c>
      <c r="AH43" s="101">
        <f t="shared" si="3"/>
        <v>16.8603</v>
      </c>
      <c r="AI43" s="101">
        <f t="shared" si="3"/>
        <v>0</v>
      </c>
      <c r="AJ43" s="101">
        <f t="shared" si="3"/>
        <v>0.02908</v>
      </c>
      <c r="AK43" s="102">
        <f t="shared" si="3"/>
        <v>0</v>
      </c>
      <c r="AL43" s="101">
        <f t="shared" si="3"/>
        <v>16.95153</v>
      </c>
      <c r="AM43" s="101">
        <f t="shared" si="3"/>
        <v>16.92245</v>
      </c>
      <c r="AN43" s="101">
        <f t="shared" si="3"/>
        <v>0</v>
      </c>
      <c r="AO43" s="101">
        <f t="shared" si="3"/>
        <v>0.02908</v>
      </c>
      <c r="AP43" s="102">
        <f t="shared" si="3"/>
        <v>0</v>
      </c>
    </row>
    <row r="44" spans="8:9" ht="37.5" customHeight="1">
      <c r="H44" s="39"/>
      <c r="I44" s="39"/>
    </row>
    <row r="45" spans="2:9" ht="34.5" customHeight="1" thickBot="1">
      <c r="B45" s="34" t="s">
        <v>35</v>
      </c>
      <c r="H45" s="39"/>
      <c r="I45" s="39"/>
    </row>
    <row r="46" spans="1:42" ht="30.75">
      <c r="A46" s="35" t="s">
        <v>45</v>
      </c>
      <c r="B46" s="36" t="s">
        <v>32</v>
      </c>
      <c r="C46" s="8" t="s">
        <v>40</v>
      </c>
      <c r="D46" s="8" t="s">
        <v>47</v>
      </c>
      <c r="E46" s="8" t="s">
        <v>48</v>
      </c>
      <c r="F46" s="8" t="s">
        <v>49</v>
      </c>
      <c r="G46" s="9" t="s">
        <v>50</v>
      </c>
      <c r="H46" s="8" t="s">
        <v>40</v>
      </c>
      <c r="I46" s="8" t="s">
        <v>47</v>
      </c>
      <c r="J46" s="8" t="s">
        <v>48</v>
      </c>
      <c r="K46" s="8" t="s">
        <v>49</v>
      </c>
      <c r="L46" s="9" t="s">
        <v>50</v>
      </c>
      <c r="M46" s="8" t="s">
        <v>40</v>
      </c>
      <c r="N46" s="8" t="s">
        <v>47</v>
      </c>
      <c r="O46" s="8" t="s">
        <v>48</v>
      </c>
      <c r="P46" s="8" t="s">
        <v>49</v>
      </c>
      <c r="Q46" s="9" t="s">
        <v>50</v>
      </c>
      <c r="R46" s="8" t="s">
        <v>40</v>
      </c>
      <c r="S46" s="8" t="s">
        <v>47</v>
      </c>
      <c r="T46" s="8" t="s">
        <v>48</v>
      </c>
      <c r="U46" s="8" t="s">
        <v>49</v>
      </c>
      <c r="V46" s="9" t="s">
        <v>50</v>
      </c>
      <c r="W46" s="8" t="s">
        <v>40</v>
      </c>
      <c r="X46" s="8" t="s">
        <v>47</v>
      </c>
      <c r="Y46" s="8" t="s">
        <v>48</v>
      </c>
      <c r="Z46" s="8" t="s">
        <v>49</v>
      </c>
      <c r="AA46" s="9" t="s">
        <v>50</v>
      </c>
      <c r="AB46" s="8" t="s">
        <v>40</v>
      </c>
      <c r="AC46" s="8" t="s">
        <v>47</v>
      </c>
      <c r="AD46" s="8" t="s">
        <v>48</v>
      </c>
      <c r="AE46" s="8" t="s">
        <v>49</v>
      </c>
      <c r="AF46" s="9" t="s">
        <v>50</v>
      </c>
      <c r="AG46" s="8" t="s">
        <v>40</v>
      </c>
      <c r="AH46" s="8" t="s">
        <v>47</v>
      </c>
      <c r="AI46" s="8" t="s">
        <v>48</v>
      </c>
      <c r="AJ46" s="8" t="s">
        <v>49</v>
      </c>
      <c r="AK46" s="9" t="s">
        <v>50</v>
      </c>
      <c r="AL46" s="8" t="s">
        <v>40</v>
      </c>
      <c r="AM46" s="8" t="s">
        <v>47</v>
      </c>
      <c r="AN46" s="8" t="s">
        <v>48</v>
      </c>
      <c r="AO46" s="8" t="s">
        <v>49</v>
      </c>
      <c r="AP46" s="9" t="s">
        <v>50</v>
      </c>
    </row>
    <row r="47" spans="1:42" ht="15">
      <c r="A47" s="37"/>
      <c r="B47" s="121" t="s">
        <v>84</v>
      </c>
      <c r="C47" s="79">
        <f aca="true" t="shared" si="4" ref="C47:C53">SUM(D47:G47)</f>
        <v>4.896609999999999</v>
      </c>
      <c r="D47" s="80">
        <f>D22</f>
        <v>4.3957999999999995</v>
      </c>
      <c r="E47" s="80">
        <f>E22</f>
        <v>0</v>
      </c>
      <c r="F47" s="80">
        <f>F22</f>
        <v>0.50081</v>
      </c>
      <c r="G47" s="81"/>
      <c r="H47" s="96">
        <f aca="true" t="shared" si="5" ref="H47:H53">SUM(I47:L47)</f>
        <v>4.896609999999999</v>
      </c>
      <c r="I47" s="80">
        <f>I22</f>
        <v>4.3957999999999995</v>
      </c>
      <c r="J47" s="80">
        <f>J22</f>
        <v>0</v>
      </c>
      <c r="K47" s="80">
        <f>K22</f>
        <v>0.50081</v>
      </c>
      <c r="L47" s="81"/>
      <c r="M47" s="96">
        <f aca="true" t="shared" si="6" ref="M47:M53">SUM(N47:Q47)</f>
        <v>4.9568</v>
      </c>
      <c r="N47" s="80">
        <f>N22</f>
        <v>4.7136000000000005</v>
      </c>
      <c r="O47" s="80">
        <f>O22</f>
        <v>0</v>
      </c>
      <c r="P47" s="80">
        <f>P22</f>
        <v>0.2432</v>
      </c>
      <c r="Q47" s="81"/>
      <c r="R47" s="96">
        <f aca="true" t="shared" si="7" ref="R47:R53">SUM(S47:V47)</f>
        <v>4.9206</v>
      </c>
      <c r="S47" s="80">
        <f>S22</f>
        <v>4.679200000000001</v>
      </c>
      <c r="T47" s="80">
        <f>T22</f>
        <v>0</v>
      </c>
      <c r="U47" s="80">
        <f>U22</f>
        <v>0.2414</v>
      </c>
      <c r="V47" s="81"/>
      <c r="W47" s="96">
        <f aca="true" t="shared" si="8" ref="W47:W53">SUM(X47:AA47)</f>
        <v>4.9386</v>
      </c>
      <c r="X47" s="80">
        <f>X22</f>
        <v>4.6963</v>
      </c>
      <c r="Y47" s="80">
        <f>Y22</f>
        <v>0</v>
      </c>
      <c r="Z47" s="80">
        <f>Z22</f>
        <v>0.2423</v>
      </c>
      <c r="AA47" s="81"/>
      <c r="AB47" s="96">
        <f aca="true" t="shared" si="9" ref="AB47:AB53">SUM(AC47:AF47)</f>
        <v>5.1853</v>
      </c>
      <c r="AC47" s="80">
        <f>AC22</f>
        <v>4.660299999999999</v>
      </c>
      <c r="AD47" s="80">
        <f>AD22</f>
        <v>0</v>
      </c>
      <c r="AE47" s="80">
        <f>AE22</f>
        <v>0.525</v>
      </c>
      <c r="AF47" s="81"/>
      <c r="AG47" s="96">
        <f aca="true" t="shared" si="10" ref="AG47:AG53">SUM(AH47:AK47)</f>
        <v>5.14737</v>
      </c>
      <c r="AH47" s="80">
        <f>AH22</f>
        <v>4.622369999999999</v>
      </c>
      <c r="AI47" s="80">
        <f>AI22</f>
        <v>0</v>
      </c>
      <c r="AJ47" s="80">
        <f>AJ22</f>
        <v>0.525</v>
      </c>
      <c r="AK47" s="81"/>
      <c r="AL47" s="96">
        <f aca="true" t="shared" si="11" ref="AL47:AL53">SUM(AM47:AP47)</f>
        <v>5.16632</v>
      </c>
      <c r="AM47" s="80">
        <f>AM22</f>
        <v>4.6413199999999994</v>
      </c>
      <c r="AN47" s="80">
        <f>AN22</f>
        <v>0</v>
      </c>
      <c r="AO47" s="80">
        <f>AO22</f>
        <v>0.525</v>
      </c>
      <c r="AP47" s="81"/>
    </row>
    <row r="48" spans="1:42" ht="15" hidden="1">
      <c r="A48" s="37"/>
      <c r="B48" s="38" t="s">
        <v>86</v>
      </c>
      <c r="C48" s="79">
        <f t="shared" si="4"/>
        <v>0</v>
      </c>
      <c r="D48" s="123"/>
      <c r="E48" s="123"/>
      <c r="F48" s="123"/>
      <c r="G48" s="81"/>
      <c r="H48" s="96">
        <f t="shared" si="5"/>
        <v>0</v>
      </c>
      <c r="I48" s="80"/>
      <c r="J48" s="80"/>
      <c r="K48" s="80">
        <v>0</v>
      </c>
      <c r="L48" s="81">
        <v>0</v>
      </c>
      <c r="M48" s="96">
        <f t="shared" si="6"/>
        <v>0</v>
      </c>
      <c r="N48" s="80"/>
      <c r="O48" s="80"/>
      <c r="P48" s="80">
        <v>0</v>
      </c>
      <c r="Q48" s="81">
        <v>0</v>
      </c>
      <c r="R48" s="96">
        <f t="shared" si="7"/>
        <v>0</v>
      </c>
      <c r="S48" s="80"/>
      <c r="T48" s="80"/>
      <c r="U48" s="80">
        <v>0</v>
      </c>
      <c r="V48" s="81">
        <v>0</v>
      </c>
      <c r="W48" s="96">
        <f t="shared" si="8"/>
        <v>0</v>
      </c>
      <c r="X48" s="80"/>
      <c r="Y48" s="80"/>
      <c r="Z48" s="80"/>
      <c r="AA48" s="81"/>
      <c r="AB48" s="96">
        <f t="shared" si="9"/>
        <v>0</v>
      </c>
      <c r="AC48" s="80"/>
      <c r="AD48" s="80"/>
      <c r="AE48" s="80"/>
      <c r="AF48" s="81"/>
      <c r="AG48" s="96">
        <f t="shared" si="10"/>
        <v>0</v>
      </c>
      <c r="AH48" s="80"/>
      <c r="AI48" s="80"/>
      <c r="AJ48" s="80"/>
      <c r="AK48" s="81"/>
      <c r="AL48" s="96">
        <f t="shared" si="11"/>
        <v>0</v>
      </c>
      <c r="AM48" s="80"/>
      <c r="AN48" s="80"/>
      <c r="AO48" s="80"/>
      <c r="AP48" s="81"/>
    </row>
    <row r="49" spans="1:42" ht="15" hidden="1">
      <c r="A49" s="37"/>
      <c r="B49" s="122" t="s">
        <v>87</v>
      </c>
      <c r="C49" s="79">
        <f t="shared" si="4"/>
        <v>0</v>
      </c>
      <c r="D49" s="123"/>
      <c r="E49" s="123"/>
      <c r="F49" s="123"/>
      <c r="G49" s="81"/>
      <c r="H49" s="96">
        <f t="shared" si="5"/>
        <v>0</v>
      </c>
      <c r="I49" s="80"/>
      <c r="J49" s="80"/>
      <c r="K49" s="80"/>
      <c r="L49" s="81"/>
      <c r="M49" s="96">
        <f t="shared" si="6"/>
        <v>0</v>
      </c>
      <c r="N49" s="80"/>
      <c r="O49" s="80"/>
      <c r="P49" s="80"/>
      <c r="Q49" s="81"/>
      <c r="R49" s="96">
        <f t="shared" si="7"/>
        <v>0</v>
      </c>
      <c r="S49" s="80"/>
      <c r="T49" s="80"/>
      <c r="U49" s="80"/>
      <c r="V49" s="81"/>
      <c r="W49" s="96">
        <f t="shared" si="8"/>
        <v>0</v>
      </c>
      <c r="X49" s="80"/>
      <c r="Y49" s="80"/>
      <c r="Z49" s="80"/>
      <c r="AA49" s="81"/>
      <c r="AB49" s="96">
        <f t="shared" si="9"/>
        <v>0</v>
      </c>
      <c r="AC49" s="80"/>
      <c r="AD49" s="80"/>
      <c r="AE49" s="80"/>
      <c r="AF49" s="81"/>
      <c r="AG49" s="96">
        <f t="shared" si="10"/>
        <v>0</v>
      </c>
      <c r="AH49" s="80"/>
      <c r="AI49" s="80"/>
      <c r="AJ49" s="80"/>
      <c r="AK49" s="81"/>
      <c r="AL49" s="96">
        <f t="shared" si="11"/>
        <v>0</v>
      </c>
      <c r="AM49" s="80"/>
      <c r="AN49" s="80"/>
      <c r="AO49" s="80"/>
      <c r="AP49" s="81"/>
    </row>
    <row r="50" spans="1:42" ht="15" hidden="1">
      <c r="A50" s="37"/>
      <c r="B50" s="38" t="s">
        <v>88</v>
      </c>
      <c r="C50" s="79">
        <f t="shared" si="4"/>
        <v>0</v>
      </c>
      <c r="D50" s="123"/>
      <c r="E50" s="123"/>
      <c r="F50" s="123"/>
      <c r="G50" s="81"/>
      <c r="H50" s="96">
        <f t="shared" si="5"/>
        <v>0</v>
      </c>
      <c r="I50" s="80"/>
      <c r="J50" s="80"/>
      <c r="K50" s="80"/>
      <c r="L50" s="81"/>
      <c r="M50" s="96">
        <f t="shared" si="6"/>
        <v>0</v>
      </c>
      <c r="N50" s="80"/>
      <c r="O50" s="80"/>
      <c r="P50" s="80"/>
      <c r="Q50" s="81"/>
      <c r="R50" s="96">
        <f t="shared" si="7"/>
        <v>0</v>
      </c>
      <c r="S50" s="80"/>
      <c r="T50" s="80"/>
      <c r="U50" s="80"/>
      <c r="V50" s="81"/>
      <c r="W50" s="96">
        <f t="shared" si="8"/>
        <v>0</v>
      </c>
      <c r="X50" s="80"/>
      <c r="Y50" s="80"/>
      <c r="Z50" s="80"/>
      <c r="AA50" s="81"/>
      <c r="AB50" s="96">
        <f t="shared" si="9"/>
        <v>0</v>
      </c>
      <c r="AC50" s="80"/>
      <c r="AD50" s="80"/>
      <c r="AE50" s="80"/>
      <c r="AF50" s="81"/>
      <c r="AG50" s="96">
        <f t="shared" si="10"/>
        <v>0</v>
      </c>
      <c r="AH50" s="80"/>
      <c r="AI50" s="80"/>
      <c r="AJ50" s="80"/>
      <c r="AK50" s="81"/>
      <c r="AL50" s="96">
        <f t="shared" si="11"/>
        <v>0</v>
      </c>
      <c r="AM50" s="80"/>
      <c r="AN50" s="80"/>
      <c r="AO50" s="80"/>
      <c r="AP50" s="81"/>
    </row>
    <row r="51" spans="1:42" ht="15" hidden="1">
      <c r="A51" s="37"/>
      <c r="B51" s="122" t="s">
        <v>89</v>
      </c>
      <c r="C51" s="79">
        <f t="shared" si="4"/>
        <v>0</v>
      </c>
      <c r="D51" s="123"/>
      <c r="E51" s="123"/>
      <c r="F51" s="123"/>
      <c r="G51" s="81"/>
      <c r="H51" s="96">
        <f t="shared" si="5"/>
        <v>0</v>
      </c>
      <c r="I51" s="80"/>
      <c r="J51" s="80"/>
      <c r="K51" s="80"/>
      <c r="L51" s="81"/>
      <c r="M51" s="96">
        <f t="shared" si="6"/>
        <v>0</v>
      </c>
      <c r="N51" s="80"/>
      <c r="O51" s="80"/>
      <c r="P51" s="80"/>
      <c r="Q51" s="81"/>
      <c r="R51" s="96">
        <f t="shared" si="7"/>
        <v>0</v>
      </c>
      <c r="S51" s="80"/>
      <c r="T51" s="80"/>
      <c r="U51" s="80"/>
      <c r="V51" s="81"/>
      <c r="W51" s="96">
        <f t="shared" si="8"/>
        <v>0</v>
      </c>
      <c r="X51" s="80"/>
      <c r="Y51" s="80"/>
      <c r="Z51" s="80"/>
      <c r="AA51" s="81"/>
      <c r="AB51" s="96">
        <f t="shared" si="9"/>
        <v>0</v>
      </c>
      <c r="AC51" s="80"/>
      <c r="AD51" s="80"/>
      <c r="AE51" s="80"/>
      <c r="AF51" s="81"/>
      <c r="AG51" s="96">
        <f t="shared" si="10"/>
        <v>0</v>
      </c>
      <c r="AH51" s="80"/>
      <c r="AI51" s="80"/>
      <c r="AJ51" s="80"/>
      <c r="AK51" s="81"/>
      <c r="AL51" s="96">
        <f t="shared" si="11"/>
        <v>0</v>
      </c>
      <c r="AM51" s="80"/>
      <c r="AN51" s="80"/>
      <c r="AO51" s="80"/>
      <c r="AP51" s="81"/>
    </row>
    <row r="52" spans="1:42" ht="15" hidden="1">
      <c r="A52" s="37"/>
      <c r="B52" s="45" t="s">
        <v>90</v>
      </c>
      <c r="C52" s="79">
        <f t="shared" si="4"/>
        <v>0</v>
      </c>
      <c r="D52" s="123"/>
      <c r="E52" s="123"/>
      <c r="F52" s="123"/>
      <c r="G52" s="81"/>
      <c r="H52" s="96">
        <f t="shared" si="5"/>
        <v>0</v>
      </c>
      <c r="I52" s="80"/>
      <c r="J52" s="80"/>
      <c r="K52" s="80"/>
      <c r="L52" s="81"/>
      <c r="M52" s="96">
        <f t="shared" si="6"/>
        <v>0</v>
      </c>
      <c r="N52" s="80"/>
      <c r="O52" s="80"/>
      <c r="P52" s="80"/>
      <c r="Q52" s="81"/>
      <c r="R52" s="96">
        <f t="shared" si="7"/>
        <v>0</v>
      </c>
      <c r="S52" s="80"/>
      <c r="T52" s="80"/>
      <c r="U52" s="80"/>
      <c r="V52" s="81"/>
      <c r="W52" s="96">
        <f t="shared" si="8"/>
        <v>0</v>
      </c>
      <c r="X52" s="80"/>
      <c r="Y52" s="80"/>
      <c r="Z52" s="80"/>
      <c r="AA52" s="81"/>
      <c r="AB52" s="96">
        <f t="shared" si="9"/>
        <v>0</v>
      </c>
      <c r="AC52" s="80"/>
      <c r="AD52" s="80"/>
      <c r="AE52" s="80"/>
      <c r="AF52" s="81"/>
      <c r="AG52" s="96">
        <f t="shared" si="10"/>
        <v>0</v>
      </c>
      <c r="AH52" s="80"/>
      <c r="AI52" s="80"/>
      <c r="AJ52" s="80"/>
      <c r="AK52" s="81"/>
      <c r="AL52" s="96">
        <f t="shared" si="11"/>
        <v>0</v>
      </c>
      <c r="AM52" s="80"/>
      <c r="AN52" s="80"/>
      <c r="AO52" s="80"/>
      <c r="AP52" s="81"/>
    </row>
    <row r="53" spans="1:42" ht="15" hidden="1">
      <c r="A53" s="37"/>
      <c r="B53" s="38"/>
      <c r="C53" s="79">
        <f t="shared" si="4"/>
        <v>0</v>
      </c>
      <c r="D53" s="80"/>
      <c r="E53" s="80"/>
      <c r="F53" s="80"/>
      <c r="G53" s="81"/>
      <c r="H53" s="96">
        <f t="shared" si="5"/>
        <v>0</v>
      </c>
      <c r="I53" s="80"/>
      <c r="J53" s="80"/>
      <c r="K53" s="80"/>
      <c r="L53" s="81"/>
      <c r="M53" s="96">
        <f t="shared" si="6"/>
        <v>0</v>
      </c>
      <c r="N53" s="80"/>
      <c r="O53" s="80"/>
      <c r="P53" s="80"/>
      <c r="Q53" s="81"/>
      <c r="R53" s="96">
        <f t="shared" si="7"/>
        <v>0</v>
      </c>
      <c r="S53" s="80"/>
      <c r="T53" s="80"/>
      <c r="U53" s="80"/>
      <c r="V53" s="81"/>
      <c r="W53" s="96">
        <f t="shared" si="8"/>
        <v>0</v>
      </c>
      <c r="X53" s="80"/>
      <c r="Y53" s="80"/>
      <c r="Z53" s="80"/>
      <c r="AA53" s="81"/>
      <c r="AB53" s="96">
        <f t="shared" si="9"/>
        <v>0</v>
      </c>
      <c r="AC53" s="80"/>
      <c r="AD53" s="80"/>
      <c r="AE53" s="80"/>
      <c r="AF53" s="81"/>
      <c r="AG53" s="96">
        <f t="shared" si="10"/>
        <v>0</v>
      </c>
      <c r="AH53" s="80"/>
      <c r="AI53" s="80"/>
      <c r="AJ53" s="80"/>
      <c r="AK53" s="81"/>
      <c r="AL53" s="96">
        <f t="shared" si="11"/>
        <v>0</v>
      </c>
      <c r="AM53" s="80"/>
      <c r="AN53" s="80"/>
      <c r="AO53" s="80"/>
      <c r="AP53" s="81"/>
    </row>
    <row r="54" spans="1:42" ht="15.75" thickBot="1">
      <c r="A54" s="49"/>
      <c r="B54" s="40" t="s">
        <v>12</v>
      </c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</row>
    <row r="55" spans="1:42" ht="15.75" thickBot="1">
      <c r="A55" s="41"/>
      <c r="B55" s="42" t="s">
        <v>46</v>
      </c>
      <c r="C55" s="87">
        <f aca="true" t="shared" si="12" ref="C55:AA55">SUM(C47:C53)</f>
        <v>4.896609999999999</v>
      </c>
      <c r="D55" s="87">
        <f t="shared" si="12"/>
        <v>4.3957999999999995</v>
      </c>
      <c r="E55" s="87">
        <f t="shared" si="12"/>
        <v>0</v>
      </c>
      <c r="F55" s="87">
        <f t="shared" si="12"/>
        <v>0.50081</v>
      </c>
      <c r="G55" s="88">
        <f t="shared" si="12"/>
        <v>0</v>
      </c>
      <c r="H55" s="101">
        <f t="shared" si="12"/>
        <v>4.896609999999999</v>
      </c>
      <c r="I55" s="101">
        <f t="shared" si="12"/>
        <v>4.3957999999999995</v>
      </c>
      <c r="J55" s="101">
        <f t="shared" si="12"/>
        <v>0</v>
      </c>
      <c r="K55" s="101">
        <f t="shared" si="12"/>
        <v>0.50081</v>
      </c>
      <c r="L55" s="102">
        <f t="shared" si="12"/>
        <v>0</v>
      </c>
      <c r="M55" s="101">
        <f t="shared" si="12"/>
        <v>4.9568</v>
      </c>
      <c r="N55" s="101">
        <f t="shared" si="12"/>
        <v>4.7136000000000005</v>
      </c>
      <c r="O55" s="101">
        <f t="shared" si="12"/>
        <v>0</v>
      </c>
      <c r="P55" s="101">
        <f t="shared" si="12"/>
        <v>0.2432</v>
      </c>
      <c r="Q55" s="102">
        <f t="shared" si="12"/>
        <v>0</v>
      </c>
      <c r="R55" s="101">
        <f t="shared" si="12"/>
        <v>4.9206</v>
      </c>
      <c r="S55" s="101">
        <f t="shared" si="12"/>
        <v>4.679200000000001</v>
      </c>
      <c r="T55" s="101">
        <f t="shared" si="12"/>
        <v>0</v>
      </c>
      <c r="U55" s="101">
        <f t="shared" si="12"/>
        <v>0.2414</v>
      </c>
      <c r="V55" s="102">
        <f t="shared" si="12"/>
        <v>0</v>
      </c>
      <c r="W55" s="101">
        <f t="shared" si="12"/>
        <v>4.9386</v>
      </c>
      <c r="X55" s="101">
        <f t="shared" si="12"/>
        <v>4.6963</v>
      </c>
      <c r="Y55" s="101">
        <f t="shared" si="12"/>
        <v>0</v>
      </c>
      <c r="Z55" s="101">
        <f t="shared" si="12"/>
        <v>0.2423</v>
      </c>
      <c r="AA55" s="102">
        <f t="shared" si="12"/>
        <v>0</v>
      </c>
      <c r="AB55" s="101">
        <f aca="true" t="shared" si="13" ref="AB55:AP55">SUM(AB47:AB53)</f>
        <v>5.1853</v>
      </c>
      <c r="AC55" s="101">
        <f t="shared" si="13"/>
        <v>4.660299999999999</v>
      </c>
      <c r="AD55" s="101">
        <f t="shared" si="13"/>
        <v>0</v>
      </c>
      <c r="AE55" s="101">
        <f t="shared" si="13"/>
        <v>0.525</v>
      </c>
      <c r="AF55" s="102">
        <f t="shared" si="13"/>
        <v>0</v>
      </c>
      <c r="AG55" s="101">
        <f t="shared" si="13"/>
        <v>5.14737</v>
      </c>
      <c r="AH55" s="101">
        <f t="shared" si="13"/>
        <v>4.622369999999999</v>
      </c>
      <c r="AI55" s="101">
        <f t="shared" si="13"/>
        <v>0</v>
      </c>
      <c r="AJ55" s="101">
        <f t="shared" si="13"/>
        <v>0.525</v>
      </c>
      <c r="AK55" s="102">
        <f t="shared" si="13"/>
        <v>0</v>
      </c>
      <c r="AL55" s="101">
        <f t="shared" si="13"/>
        <v>5.16632</v>
      </c>
      <c r="AM55" s="101">
        <f t="shared" si="13"/>
        <v>4.6413199999999994</v>
      </c>
      <c r="AN55" s="101">
        <f t="shared" si="13"/>
        <v>0</v>
      </c>
      <c r="AO55" s="101">
        <f t="shared" si="13"/>
        <v>0.525</v>
      </c>
      <c r="AP55" s="102">
        <f t="shared" si="13"/>
        <v>0</v>
      </c>
    </row>
    <row r="56" ht="48.75" customHeight="1"/>
    <row r="57" ht="28.5" customHeight="1"/>
    <row r="58" spans="2:25" ht="14.25" customHeight="1">
      <c r="B58" s="124" t="s">
        <v>103</v>
      </c>
      <c r="I58" s="127"/>
      <c r="M58" s="127" t="s">
        <v>95</v>
      </c>
      <c r="T58" s="130"/>
      <c r="Y58" s="130" t="s">
        <v>98</v>
      </c>
    </row>
    <row r="59" spans="2:25" ht="13.5">
      <c r="B59" s="125" t="s">
        <v>92</v>
      </c>
      <c r="I59" s="127"/>
      <c r="M59" s="127" t="s">
        <v>96</v>
      </c>
      <c r="T59" s="127"/>
      <c r="Y59" s="127" t="s">
        <v>99</v>
      </c>
    </row>
    <row r="60" spans="2:25" ht="13.5">
      <c r="B60" s="126" t="s">
        <v>93</v>
      </c>
      <c r="I60" s="128"/>
      <c r="M60" s="128" t="s">
        <v>97</v>
      </c>
      <c r="T60" s="128"/>
      <c r="Y60" s="128" t="s">
        <v>100</v>
      </c>
    </row>
    <row r="61" spans="2:25" ht="13.5">
      <c r="B61" s="125" t="s">
        <v>94</v>
      </c>
      <c r="I61" s="129"/>
      <c r="T61" s="126"/>
      <c r="Y61" s="126" t="s">
        <v>93</v>
      </c>
    </row>
  </sheetData>
  <sheetProtection password="FA9C" sheet="1" objects="1" scenarios="1" formatColumns="0" formatRows="0"/>
  <protectedRanges>
    <protectedRange sqref="O11 Q11:Q12 N14:Q17 N20:Q20 E11 G11:G12 D14:G17 D20:G20 D22:G24 J11 L11:L12 I14:L17 I20:L20 N22:Q24 I22:L24 T11 V11:V12 S14:V17 S20:V20 S22:V24 Y11 AA11:AA12 X14:AA17 X20:AA20 X22:AA24" name="Диапазон1"/>
    <protectedRange sqref="A39:B42 A31:B34 A47:B54" name="Диапазон1_2"/>
  </protectedRanges>
  <mergeCells count="13">
    <mergeCell ref="C5:G5"/>
    <mergeCell ref="M5:Q5"/>
    <mergeCell ref="R5:V5"/>
    <mergeCell ref="AB5:AF5"/>
    <mergeCell ref="AG5:AK5"/>
    <mergeCell ref="AL5:AP5"/>
    <mergeCell ref="W5:AA5"/>
    <mergeCell ref="Z1:AA1"/>
    <mergeCell ref="K1:L1"/>
    <mergeCell ref="A3:L3"/>
    <mergeCell ref="H5:L5"/>
    <mergeCell ref="A5:A6"/>
    <mergeCell ref="B5:B6"/>
  </mergeCells>
  <hyperlinks>
    <hyperlink ref="B34" location="'Баланс мощности'!A1" display="Добавить"/>
    <hyperlink ref="B42" location="'Баланс мощности'!A1" display="Добавить"/>
    <hyperlink ref="B54" location="'Баланс мощности'!A1" display="Добавить"/>
  </hyperlinks>
  <printOptions/>
  <pageMargins left="0.7480314960629921" right="0" top="1.3779527559055118" bottom="0.5905511811023623" header="0.5118110236220472" footer="0.5118110236220472"/>
  <pageSetup horizontalDpi="600" verticalDpi="600" orientation="landscape" paperSize="8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0"/>
  <dimension ref="E7:E18"/>
  <sheetViews>
    <sheetView zoomScalePageLayoutView="0" workbookViewId="0" topLeftCell="A1">
      <selection activeCell="D20" sqref="D20"/>
    </sheetView>
  </sheetViews>
  <sheetFormatPr defaultColWidth="9.00390625" defaultRowHeight="12.75"/>
  <sheetData>
    <row r="7" ht="12.75">
      <c r="E7" t="s">
        <v>13</v>
      </c>
    </row>
    <row r="8" ht="12.75">
      <c r="E8" t="s">
        <v>14</v>
      </c>
    </row>
    <row r="9" ht="12.75">
      <c r="E9" t="s">
        <v>15</v>
      </c>
    </row>
    <row r="10" ht="12.75">
      <c r="E10" t="s">
        <v>16</v>
      </c>
    </row>
    <row r="11" ht="12.75">
      <c r="E11" t="s">
        <v>17</v>
      </c>
    </row>
    <row r="12" ht="12.75">
      <c r="E12" t="s">
        <v>18</v>
      </c>
    </row>
    <row r="13" ht="12.75">
      <c r="E13" t="s">
        <v>19</v>
      </c>
    </row>
    <row r="14" ht="12.75">
      <c r="E14" t="s">
        <v>20</v>
      </c>
    </row>
    <row r="15" ht="12.75">
      <c r="E15" t="s">
        <v>21</v>
      </c>
    </row>
    <row r="16" ht="12.75">
      <c r="E16" t="s">
        <v>22</v>
      </c>
    </row>
    <row r="17" ht="12.75">
      <c r="E17" t="s">
        <v>23</v>
      </c>
    </row>
    <row r="18" ht="12.75">
      <c r="E18" t="s">
        <v>24</v>
      </c>
    </row>
  </sheetData>
  <sheetProtection password="FA9C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--</dc:creator>
  <cp:keywords/>
  <dc:description/>
  <cp:lastModifiedBy>user</cp:lastModifiedBy>
  <cp:lastPrinted>2013-05-14T12:39:18Z</cp:lastPrinted>
  <dcterms:created xsi:type="dcterms:W3CDTF">2004-05-21T07:18:45Z</dcterms:created>
  <dcterms:modified xsi:type="dcterms:W3CDTF">2015-05-25T13:17:00Z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